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glwa-isilon.glwater.org\data\Stormwater Management Group\DRAINAGE Engineering\Credit Calculator\"/>
    </mc:Choice>
  </mc:AlternateContent>
  <bookViews>
    <workbookView xWindow="0" yWindow="0" windowWidth="17040" windowHeight="2715" tabRatio="779" activeTab="6"/>
  </bookViews>
  <sheets>
    <sheet name="Introduction" sheetId="21" r:id="rId1"/>
    <sheet name="Unit Conversion" sheetId="7" r:id="rId2"/>
    <sheet name="Glossary" sheetId="17" r:id="rId3"/>
    <sheet name="How to Determine Drainage Area " sheetId="23" r:id="rId4"/>
    <sheet name="How to Calculate Practice Areas" sheetId="24" r:id="rId5"/>
    <sheet name="EWD Calculator" sheetId="16" r:id="rId6"/>
    <sheet name="Advanced Credit Calculator" sheetId="26" r:id="rId7"/>
    <sheet name="Credit Calculator " sheetId="5" state="hidden" r:id="rId8"/>
    <sheet name="Shared Practices" sheetId="25" r:id="rId9"/>
    <sheet name="Next Steps" sheetId="20" r:id="rId10"/>
    <sheet name=" Disclaimer" sheetId="18" r:id="rId11"/>
    <sheet name="References" sheetId="12" r:id="rId12"/>
    <sheet name="Std Detent Calcs" sheetId="15" state="hidden" r:id="rId13"/>
  </sheets>
  <definedNames>
    <definedName name="_Ref459696516" localSheetId="5">'EWD Calculator'!$N$17</definedName>
    <definedName name="_Ref459696516" localSheetId="8">'Shared Practices'!#REF!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21" i="26" l="1"/>
  <c r="T22" i="26"/>
  <c r="T23" i="26"/>
  <c r="T24" i="26"/>
  <c r="T25" i="26"/>
  <c r="T26" i="26"/>
  <c r="T27" i="26"/>
  <c r="AB31" i="26" l="1"/>
  <c r="P18" i="26"/>
  <c r="P19" i="26"/>
  <c r="P20" i="26"/>
  <c r="P21" i="26"/>
  <c r="P22" i="26"/>
  <c r="P23" i="26"/>
  <c r="P24" i="26"/>
  <c r="P25" i="26"/>
  <c r="P26" i="26"/>
  <c r="P27" i="26"/>
  <c r="S24" i="26" l="1"/>
  <c r="S25" i="26"/>
  <c r="S26" i="26"/>
  <c r="S21" i="26"/>
  <c r="S22" i="26"/>
  <c r="S23" i="26"/>
  <c r="S27" i="26"/>
  <c r="G11" i="26" l="1"/>
  <c r="S20" i="26"/>
  <c r="S19" i="26"/>
  <c r="U22" i="26" l="1"/>
  <c r="S18" i="26" l="1"/>
  <c r="D31" i="26"/>
  <c r="R27" i="26"/>
  <c r="Y27" i="26"/>
  <c r="AD27" i="26" s="1"/>
  <c r="R26" i="26"/>
  <c r="U26" i="26"/>
  <c r="Y26" i="26"/>
  <c r="AD26" i="26" s="1"/>
  <c r="Z25" i="26"/>
  <c r="R25" i="26"/>
  <c r="U25" i="26"/>
  <c r="V25" i="26" s="1"/>
  <c r="Y25" i="26"/>
  <c r="AD25" i="26" s="1"/>
  <c r="Z24" i="26"/>
  <c r="R24" i="26"/>
  <c r="U24" i="26"/>
  <c r="Y24" i="26"/>
  <c r="AD24" i="26" s="1"/>
  <c r="Z23" i="26"/>
  <c r="R23" i="26"/>
  <c r="Y23" i="26"/>
  <c r="AD23" i="26" s="1"/>
  <c r="Z22" i="26"/>
  <c r="R22" i="26"/>
  <c r="Y22" i="26"/>
  <c r="AD22" i="26" s="1"/>
  <c r="Z21" i="26"/>
  <c r="R21" i="26"/>
  <c r="U21" i="26"/>
  <c r="Y21" i="26"/>
  <c r="AD21" i="26" s="1"/>
  <c r="Z20" i="26"/>
  <c r="T20" i="26"/>
  <c r="R20" i="26"/>
  <c r="U20" i="26"/>
  <c r="Y20" i="26"/>
  <c r="AD20" i="26" s="1"/>
  <c r="Z19" i="26"/>
  <c r="T19" i="26"/>
  <c r="R19" i="26"/>
  <c r="Y19" i="26"/>
  <c r="AD19" i="26" s="1"/>
  <c r="Z18" i="26"/>
  <c r="T18" i="26"/>
  <c r="R18" i="26"/>
  <c r="Y18" i="26"/>
  <c r="O11" i="26"/>
  <c r="E11" i="26"/>
  <c r="D11" i="26"/>
  <c r="H10" i="26"/>
  <c r="O9" i="26"/>
  <c r="H9" i="26"/>
  <c r="H8" i="26"/>
  <c r="H9" i="5"/>
  <c r="H10" i="5"/>
  <c r="H8" i="5"/>
  <c r="Q18" i="5"/>
  <c r="Q17" i="5"/>
  <c r="AD18" i="26" l="1"/>
  <c r="V24" i="26"/>
  <c r="V20" i="26"/>
  <c r="U18" i="26"/>
  <c r="V18" i="26" s="1"/>
  <c r="W18" i="26" s="1"/>
  <c r="H11" i="26"/>
  <c r="D33" i="26" s="1"/>
  <c r="U19" i="26"/>
  <c r="V19" i="26" s="1"/>
  <c r="U27" i="26"/>
  <c r="V27" i="26" s="1"/>
  <c r="U23" i="26"/>
  <c r="V23" i="26" s="1"/>
  <c r="V22" i="26"/>
  <c r="V21" i="26"/>
  <c r="V26" i="26"/>
  <c r="AB19" i="26"/>
  <c r="AC19" i="26"/>
  <c r="AA19" i="26"/>
  <c r="AA24" i="26"/>
  <c r="AC24" i="26"/>
  <c r="AB24" i="26"/>
  <c r="AB18" i="26"/>
  <c r="AC18" i="26"/>
  <c r="AA18" i="26"/>
  <c r="AB23" i="26"/>
  <c r="AA23" i="26"/>
  <c r="AC23" i="26"/>
  <c r="AC27" i="26"/>
  <c r="AB27" i="26"/>
  <c r="AA27" i="26"/>
  <c r="AC22" i="26"/>
  <c r="AB22" i="26"/>
  <c r="AA22" i="26"/>
  <c r="AA21" i="26"/>
  <c r="AB21" i="26"/>
  <c r="AC21" i="26"/>
  <c r="AA26" i="26"/>
  <c r="AC26" i="26"/>
  <c r="AB26" i="26"/>
  <c r="AB25" i="26"/>
  <c r="AC25" i="26"/>
  <c r="AA25" i="26"/>
  <c r="AC20" i="26"/>
  <c r="AB20" i="26"/>
  <c r="AA20" i="26"/>
  <c r="I19" i="25"/>
  <c r="I20" i="25"/>
  <c r="I21" i="25"/>
  <c r="I18" i="25"/>
  <c r="K24" i="16"/>
  <c r="I17" i="25"/>
  <c r="AE18" i="26" l="1"/>
  <c r="AF18" i="26" s="1"/>
  <c r="AE22" i="26"/>
  <c r="AF22" i="26" s="1"/>
  <c r="AE25" i="26"/>
  <c r="AF25" i="26" s="1"/>
  <c r="AE27" i="26"/>
  <c r="AF27" i="26" s="1"/>
  <c r="AE19" i="26"/>
  <c r="AF19" i="26" s="1"/>
  <c r="AE21" i="26"/>
  <c r="AF21" i="26" s="1"/>
  <c r="AE24" i="26"/>
  <c r="AF24" i="26" s="1"/>
  <c r="AE20" i="26"/>
  <c r="AF20" i="26" s="1"/>
  <c r="AE23" i="26"/>
  <c r="AF23" i="26" s="1"/>
  <c r="AE26" i="26"/>
  <c r="AF26" i="26" s="1"/>
  <c r="V17" i="5"/>
  <c r="F20" i="16"/>
  <c r="D37" i="21" l="1"/>
  <c r="D30" i="5" l="1"/>
  <c r="AD30" i="5"/>
  <c r="D10" i="15" l="1"/>
  <c r="E10" i="15"/>
  <c r="G10" i="15" s="1"/>
  <c r="D11" i="15"/>
  <c r="F11" i="15" s="1"/>
  <c r="E11" i="15"/>
  <c r="D12" i="15"/>
  <c r="E12" i="15"/>
  <c r="G12" i="15" s="1"/>
  <c r="D13" i="15"/>
  <c r="F13" i="15" s="1"/>
  <c r="E13" i="15"/>
  <c r="G13" i="15" s="1"/>
  <c r="E9" i="15"/>
  <c r="D9" i="15"/>
  <c r="G3" i="15"/>
  <c r="G4" i="15"/>
  <c r="F5" i="15"/>
  <c r="D4" i="15"/>
  <c r="D5" i="15"/>
  <c r="D6" i="15"/>
  <c r="F6" i="15" s="1"/>
  <c r="D7" i="15"/>
  <c r="F7" i="15" s="1"/>
  <c r="D3" i="15"/>
  <c r="F3" i="15" s="1"/>
  <c r="E4" i="15"/>
  <c r="E5" i="15"/>
  <c r="E6" i="15"/>
  <c r="G6" i="15" s="1"/>
  <c r="E7" i="15"/>
  <c r="G7" i="15" s="1"/>
  <c r="E3" i="15"/>
  <c r="F4" i="15" l="1"/>
  <c r="F12" i="15"/>
  <c r="G5" i="15"/>
  <c r="F10" i="15"/>
  <c r="G11" i="15"/>
  <c r="F9" i="15"/>
  <c r="G9" i="15"/>
  <c r="O22" i="5"/>
  <c r="O21" i="5"/>
  <c r="Q19" i="5"/>
  <c r="V18" i="5" l="1"/>
  <c r="V19" i="5"/>
  <c r="V20" i="5"/>
  <c r="V21" i="5"/>
  <c r="V22" i="5"/>
  <c r="V23" i="5"/>
  <c r="V24" i="5"/>
  <c r="V25" i="5"/>
  <c r="V26" i="5"/>
  <c r="U18" i="5"/>
  <c r="U19" i="5"/>
  <c r="U20" i="5"/>
  <c r="U21" i="5"/>
  <c r="U22" i="5"/>
  <c r="U23" i="5"/>
  <c r="U24" i="5"/>
  <c r="U25" i="5"/>
  <c r="U26" i="5"/>
  <c r="U17" i="5"/>
  <c r="L24" i="16" l="1"/>
  <c r="L25" i="16"/>
  <c r="L26" i="16"/>
  <c r="L27" i="16"/>
  <c r="L23" i="16"/>
  <c r="O11" i="5" l="1"/>
  <c r="O9" i="5"/>
  <c r="C91" i="15" l="1"/>
  <c r="B91" i="15"/>
  <c r="A91" i="15"/>
  <c r="C90" i="15"/>
  <c r="B90" i="15"/>
  <c r="A90" i="15"/>
  <c r="C89" i="15"/>
  <c r="B89" i="15"/>
  <c r="A89" i="15"/>
  <c r="C88" i="15"/>
  <c r="B88" i="15"/>
  <c r="A88" i="15"/>
  <c r="C87" i="15"/>
  <c r="B87" i="15"/>
  <c r="A87" i="15"/>
  <c r="C86" i="15"/>
  <c r="B86" i="15"/>
  <c r="A86" i="15"/>
  <c r="C85" i="15"/>
  <c r="B85" i="15"/>
  <c r="A85" i="15"/>
  <c r="C84" i="15"/>
  <c r="B84" i="15"/>
  <c r="A84" i="15"/>
  <c r="C83" i="15"/>
  <c r="B83" i="15"/>
  <c r="A83" i="15"/>
  <c r="C82" i="15"/>
  <c r="B82" i="15"/>
  <c r="A82" i="15"/>
  <c r="C81" i="15"/>
  <c r="B81" i="15"/>
  <c r="A81" i="15"/>
  <c r="C80" i="15"/>
  <c r="B80" i="15"/>
  <c r="A80" i="15"/>
  <c r="C79" i="15"/>
  <c r="B79" i="15"/>
  <c r="A79" i="15"/>
  <c r="C78" i="15"/>
  <c r="B78" i="15"/>
  <c r="A78" i="15"/>
  <c r="C77" i="15"/>
  <c r="B77" i="15"/>
  <c r="A77" i="15"/>
  <c r="C76" i="15"/>
  <c r="B76" i="15"/>
  <c r="A76" i="15"/>
  <c r="C75" i="15"/>
  <c r="B75" i="15"/>
  <c r="A75" i="15"/>
  <c r="C74" i="15"/>
  <c r="B74" i="15"/>
  <c r="A74" i="15"/>
  <c r="C73" i="15"/>
  <c r="B73" i="15"/>
  <c r="A73" i="15"/>
  <c r="C72" i="15"/>
  <c r="B72" i="15"/>
  <c r="A72" i="15"/>
  <c r="C71" i="15"/>
  <c r="B71" i="15"/>
  <c r="A71" i="15"/>
  <c r="C70" i="15"/>
  <c r="B70" i="15"/>
  <c r="A70" i="15"/>
  <c r="C69" i="15"/>
  <c r="B69" i="15"/>
  <c r="A69" i="15"/>
  <c r="C68" i="15"/>
  <c r="B68" i="15"/>
  <c r="A68" i="15"/>
  <c r="C67" i="15"/>
  <c r="B67" i="15"/>
  <c r="A67" i="15"/>
  <c r="C66" i="15"/>
  <c r="B66" i="15"/>
  <c r="A66" i="15"/>
  <c r="C65" i="15"/>
  <c r="B65" i="15"/>
  <c r="A65" i="15"/>
  <c r="C64" i="15"/>
  <c r="B64" i="15"/>
  <c r="A64" i="15"/>
  <c r="C63" i="15"/>
  <c r="B63" i="15"/>
  <c r="A63" i="15"/>
  <c r="C62" i="15"/>
  <c r="B62" i="15"/>
  <c r="A62" i="15"/>
  <c r="C61" i="15"/>
  <c r="B61" i="15"/>
  <c r="A61" i="15"/>
  <c r="C60" i="15"/>
  <c r="B60" i="15"/>
  <c r="A60" i="15"/>
  <c r="C59" i="15"/>
  <c r="B59" i="15"/>
  <c r="A59" i="15"/>
  <c r="C58" i="15"/>
  <c r="B58" i="15"/>
  <c r="A58" i="15"/>
  <c r="C57" i="15"/>
  <c r="B57" i="15"/>
  <c r="A57" i="15"/>
  <c r="C56" i="15"/>
  <c r="B56" i="15"/>
  <c r="A56" i="15"/>
  <c r="C55" i="15"/>
  <c r="B55" i="15"/>
  <c r="A55" i="15"/>
  <c r="C54" i="15"/>
  <c r="B54" i="15"/>
  <c r="A54" i="15"/>
  <c r="C53" i="15"/>
  <c r="B53" i="15"/>
  <c r="A53" i="15"/>
  <c r="C52" i="15"/>
  <c r="B52" i="15"/>
  <c r="A52" i="15"/>
  <c r="C51" i="15"/>
  <c r="B51" i="15"/>
  <c r="A51" i="15"/>
  <c r="C50" i="15"/>
  <c r="B50" i="15"/>
  <c r="A50" i="15"/>
  <c r="C49" i="15"/>
  <c r="B49" i="15"/>
  <c r="A49" i="15"/>
  <c r="C48" i="15"/>
  <c r="B48" i="15"/>
  <c r="A48" i="15"/>
  <c r="C47" i="15"/>
  <c r="B47" i="15"/>
  <c r="A47" i="15"/>
  <c r="C46" i="15"/>
  <c r="B46" i="15"/>
  <c r="A46" i="15"/>
  <c r="C45" i="15"/>
  <c r="B45" i="15"/>
  <c r="A45" i="15"/>
  <c r="C44" i="15"/>
  <c r="B44" i="15"/>
  <c r="A44" i="15"/>
  <c r="C43" i="15"/>
  <c r="B43" i="15"/>
  <c r="A43" i="15"/>
  <c r="C42" i="15"/>
  <c r="B42" i="15"/>
  <c r="A42" i="15"/>
  <c r="C41" i="15"/>
  <c r="B41" i="15"/>
  <c r="A41" i="15"/>
  <c r="C40" i="15"/>
  <c r="B40" i="15"/>
  <c r="A40" i="15"/>
  <c r="C39" i="15"/>
  <c r="B39" i="15"/>
  <c r="A39" i="15"/>
  <c r="C38" i="15"/>
  <c r="B38" i="15"/>
  <c r="A38" i="15"/>
  <c r="C37" i="15"/>
  <c r="B37" i="15"/>
  <c r="A37" i="15"/>
  <c r="C36" i="15"/>
  <c r="A36" i="15"/>
  <c r="C35" i="15"/>
  <c r="B35" i="15"/>
  <c r="A35" i="15"/>
  <c r="C34" i="15"/>
  <c r="B34" i="15"/>
  <c r="A34" i="15"/>
  <c r="C33" i="15"/>
  <c r="A33" i="15"/>
  <c r="C32" i="15"/>
  <c r="B32" i="15"/>
  <c r="A32" i="15"/>
  <c r="C31" i="15"/>
  <c r="A31" i="15"/>
  <c r="C30" i="15"/>
  <c r="B30" i="15"/>
  <c r="A30" i="15"/>
  <c r="C29" i="15"/>
  <c r="B29" i="15"/>
  <c r="A29" i="15"/>
  <c r="C28" i="15"/>
  <c r="B28" i="15"/>
  <c r="A28" i="15"/>
  <c r="C27" i="15"/>
  <c r="B27" i="15"/>
  <c r="A27" i="15"/>
  <c r="C26" i="15"/>
  <c r="B26" i="15"/>
  <c r="A26" i="15"/>
  <c r="C25" i="15"/>
  <c r="B25" i="15"/>
  <c r="A25" i="15"/>
  <c r="C24" i="15"/>
  <c r="B24" i="15"/>
  <c r="A24" i="15"/>
  <c r="C23" i="15"/>
  <c r="B23" i="15"/>
  <c r="A23" i="15"/>
  <c r="C22" i="15"/>
  <c r="B22" i="15"/>
  <c r="A22" i="15"/>
  <c r="C21" i="15"/>
  <c r="B21" i="15"/>
  <c r="A21" i="15"/>
  <c r="C20" i="15"/>
  <c r="B20" i="15"/>
  <c r="A20" i="15"/>
  <c r="C19" i="15"/>
  <c r="B19" i="15"/>
  <c r="A19" i="15"/>
  <c r="C18" i="15"/>
  <c r="B18" i="15"/>
  <c r="A18" i="15"/>
  <c r="C17" i="15"/>
  <c r="B17" i="15"/>
  <c r="A17" i="15"/>
  <c r="C16" i="15"/>
  <c r="B16" i="15"/>
  <c r="A16" i="15"/>
  <c r="B13" i="15"/>
  <c r="B12" i="15"/>
  <c r="B11" i="15"/>
  <c r="B10" i="15"/>
  <c r="B9" i="15"/>
  <c r="B7" i="15"/>
  <c r="A7" i="15"/>
  <c r="B6" i="15"/>
  <c r="A6" i="15"/>
  <c r="B5" i="15"/>
  <c r="A5" i="15"/>
  <c r="B4" i="15"/>
  <c r="A4" i="15"/>
  <c r="A3" i="15"/>
  <c r="K27" i="16"/>
  <c r="K26" i="16"/>
  <c r="K25" i="16"/>
  <c r="K23" i="16"/>
  <c r="T26" i="5"/>
  <c r="O26" i="5"/>
  <c r="AA26" i="5" s="1"/>
  <c r="Q26" i="5"/>
  <c r="W26" i="5" s="1"/>
  <c r="T25" i="5"/>
  <c r="O25" i="5"/>
  <c r="AA25" i="5" s="1"/>
  <c r="Q25" i="5"/>
  <c r="W25" i="5" s="1"/>
  <c r="AB24" i="5"/>
  <c r="T24" i="5"/>
  <c r="O24" i="5"/>
  <c r="AA24" i="5" s="1"/>
  <c r="Q24" i="5"/>
  <c r="W24" i="5" s="1"/>
  <c r="AB23" i="5"/>
  <c r="T23" i="5"/>
  <c r="O23" i="5"/>
  <c r="AA23" i="5" s="1"/>
  <c r="Q23" i="5"/>
  <c r="W23" i="5" s="1"/>
  <c r="AB22" i="5"/>
  <c r="T22" i="5"/>
  <c r="AA22" i="5"/>
  <c r="Q22" i="5"/>
  <c r="W22" i="5" s="1"/>
  <c r="AB21" i="5"/>
  <c r="T21" i="5"/>
  <c r="AA21" i="5"/>
  <c r="Q21" i="5"/>
  <c r="W21" i="5" s="1"/>
  <c r="AB20" i="5"/>
  <c r="T20" i="5"/>
  <c r="O20" i="5"/>
  <c r="AA20" i="5" s="1"/>
  <c r="Q20" i="5"/>
  <c r="W20" i="5" s="1"/>
  <c r="AB19" i="5"/>
  <c r="T19" i="5"/>
  <c r="O19" i="5"/>
  <c r="AA19" i="5" s="1"/>
  <c r="W19" i="5"/>
  <c r="AB18" i="5"/>
  <c r="T18" i="5"/>
  <c r="O18" i="5"/>
  <c r="AA18" i="5" s="1"/>
  <c r="W18" i="5"/>
  <c r="AB17" i="5"/>
  <c r="T17" i="5"/>
  <c r="O17" i="5"/>
  <c r="AA17" i="5" s="1"/>
  <c r="W17" i="5"/>
  <c r="E11" i="5"/>
  <c r="D11" i="5"/>
  <c r="E7" i="7"/>
  <c r="E6" i="7"/>
  <c r="AD25" i="5" l="1"/>
  <c r="AE25" i="5"/>
  <c r="X26" i="5"/>
  <c r="Y26" i="5" s="1"/>
  <c r="AD19" i="5"/>
  <c r="AE19" i="5"/>
  <c r="AD21" i="5"/>
  <c r="AE21" i="5"/>
  <c r="AE26" i="5"/>
  <c r="AD26" i="5"/>
  <c r="AE18" i="5"/>
  <c r="AD18" i="5"/>
  <c r="AD20" i="5"/>
  <c r="AE20" i="5"/>
  <c r="AD24" i="5"/>
  <c r="AE24" i="5"/>
  <c r="AE17" i="5"/>
  <c r="AD17" i="5"/>
  <c r="AD23" i="5"/>
  <c r="AE23" i="5"/>
  <c r="AE22" i="5"/>
  <c r="AD22" i="5"/>
  <c r="X23" i="5"/>
  <c r="Y23" i="5" s="1"/>
  <c r="X25" i="5"/>
  <c r="Y25" i="5" s="1"/>
  <c r="D31" i="5"/>
  <c r="B33" i="15" s="1"/>
  <c r="H13" i="15"/>
  <c r="I13" i="15"/>
  <c r="D23" i="15"/>
  <c r="E23" i="15"/>
  <c r="E40" i="15"/>
  <c r="G40" i="15" s="1"/>
  <c r="I40" i="15" s="1"/>
  <c r="D40" i="15"/>
  <c r="F40" i="15" s="1"/>
  <c r="E48" i="15"/>
  <c r="D48" i="15"/>
  <c r="D56" i="15"/>
  <c r="E56" i="15"/>
  <c r="G56" i="15" s="1"/>
  <c r="I56" i="15" s="1"/>
  <c r="D64" i="15"/>
  <c r="E64" i="15"/>
  <c r="G64" i="15" s="1"/>
  <c r="I64" i="15" s="1"/>
  <c r="D72" i="15"/>
  <c r="E72" i="15"/>
  <c r="G72" i="15" s="1"/>
  <c r="I72" i="15" s="1"/>
  <c r="D80" i="15"/>
  <c r="E80" i="15"/>
  <c r="G80" i="15" s="1"/>
  <c r="I80" i="15" s="1"/>
  <c r="D88" i="15"/>
  <c r="E88" i="15"/>
  <c r="G88" i="15" s="1"/>
  <c r="I88" i="15" s="1"/>
  <c r="H6" i="15"/>
  <c r="I6" i="15"/>
  <c r="D18" i="15"/>
  <c r="E18" i="15"/>
  <c r="G18" i="15" s="1"/>
  <c r="I18" i="15" s="1"/>
  <c r="D26" i="15"/>
  <c r="E26" i="15"/>
  <c r="D43" i="15"/>
  <c r="F43" i="15" s="1"/>
  <c r="E43" i="15"/>
  <c r="D51" i="15"/>
  <c r="F51" i="15" s="1"/>
  <c r="E51" i="15"/>
  <c r="D59" i="15"/>
  <c r="F59" i="15" s="1"/>
  <c r="E59" i="15"/>
  <c r="D67" i="15"/>
  <c r="F67" i="15" s="1"/>
  <c r="E67" i="15"/>
  <c r="D75" i="15"/>
  <c r="F75" i="15" s="1"/>
  <c r="E75" i="15"/>
  <c r="D83" i="15"/>
  <c r="F83" i="15" s="1"/>
  <c r="E83" i="15"/>
  <c r="D91" i="15"/>
  <c r="F91" i="15" s="1"/>
  <c r="E91" i="15"/>
  <c r="D21" i="15"/>
  <c r="E21" i="15"/>
  <c r="D29" i="15"/>
  <c r="E29" i="15"/>
  <c r="D38" i="15"/>
  <c r="E38" i="15"/>
  <c r="G38" i="15" s="1"/>
  <c r="I38" i="15" s="1"/>
  <c r="D46" i="15"/>
  <c r="E46" i="15"/>
  <c r="D86" i="15"/>
  <c r="E86" i="15"/>
  <c r="E41" i="15"/>
  <c r="D41" i="15"/>
  <c r="H9" i="15"/>
  <c r="I9" i="15"/>
  <c r="D19" i="15"/>
  <c r="F19" i="15" s="1"/>
  <c r="E19" i="15"/>
  <c r="D27" i="15"/>
  <c r="E27" i="15"/>
  <c r="G27" i="15" s="1"/>
  <c r="I27" i="15" s="1"/>
  <c r="D33" i="15"/>
  <c r="E33" i="15"/>
  <c r="D36" i="15"/>
  <c r="F36" i="15" s="1"/>
  <c r="E36" i="15"/>
  <c r="G36" i="15" s="1"/>
  <c r="D44" i="15"/>
  <c r="E44" i="15"/>
  <c r="G44" i="15" s="1"/>
  <c r="I44" i="15" s="1"/>
  <c r="D52" i="15"/>
  <c r="F52" i="15" s="1"/>
  <c r="E52" i="15"/>
  <c r="D60" i="15"/>
  <c r="F60" i="15" s="1"/>
  <c r="E60" i="15"/>
  <c r="D68" i="15"/>
  <c r="F68" i="15" s="1"/>
  <c r="E68" i="15"/>
  <c r="D76" i="15"/>
  <c r="F76" i="15" s="1"/>
  <c r="E76" i="15"/>
  <c r="D84" i="15"/>
  <c r="F84" i="15" s="1"/>
  <c r="E84" i="15"/>
  <c r="D35" i="15"/>
  <c r="E35" i="15"/>
  <c r="D62" i="15"/>
  <c r="E62" i="15"/>
  <c r="H7" i="15"/>
  <c r="I7" i="15"/>
  <c r="D24" i="15"/>
  <c r="F24" i="15" s="1"/>
  <c r="E24" i="15"/>
  <c r="D49" i="15"/>
  <c r="E49" i="15"/>
  <c r="D57" i="15"/>
  <c r="E57" i="15"/>
  <c r="D65" i="15"/>
  <c r="E65" i="15"/>
  <c r="D73" i="15"/>
  <c r="E73" i="15"/>
  <c r="D89" i="15"/>
  <c r="E89" i="15"/>
  <c r="H4" i="15"/>
  <c r="I4" i="15"/>
  <c r="D22" i="15"/>
  <c r="E22" i="15"/>
  <c r="G22" i="15" s="1"/>
  <c r="I22" i="15" s="1"/>
  <c r="D30" i="15"/>
  <c r="E30" i="15"/>
  <c r="G30" i="15" s="1"/>
  <c r="I30" i="15" s="1"/>
  <c r="D39" i="15"/>
  <c r="E39" i="15"/>
  <c r="D47" i="15"/>
  <c r="E47" i="15"/>
  <c r="G47" i="15" s="1"/>
  <c r="I47" i="15" s="1"/>
  <c r="D55" i="15"/>
  <c r="E55" i="15"/>
  <c r="D63" i="15"/>
  <c r="E63" i="15"/>
  <c r="D71" i="15"/>
  <c r="E71" i="15"/>
  <c r="D79" i="15"/>
  <c r="E79" i="15"/>
  <c r="D87" i="15"/>
  <c r="E87" i="15"/>
  <c r="I11" i="15"/>
  <c r="H11" i="15"/>
  <c r="D17" i="15"/>
  <c r="E17" i="15"/>
  <c r="D25" i="15"/>
  <c r="E25" i="15"/>
  <c r="D42" i="15"/>
  <c r="E42" i="15"/>
  <c r="D50" i="15"/>
  <c r="E50" i="15"/>
  <c r="G50" i="15" s="1"/>
  <c r="I50" i="15" s="1"/>
  <c r="D58" i="15"/>
  <c r="E58" i="15"/>
  <c r="E66" i="15"/>
  <c r="D66" i="15"/>
  <c r="D74" i="15"/>
  <c r="E74" i="15"/>
  <c r="E82" i="15"/>
  <c r="D82" i="15"/>
  <c r="D90" i="15"/>
  <c r="E90" i="15"/>
  <c r="E32" i="15"/>
  <c r="D32" i="15"/>
  <c r="D54" i="15"/>
  <c r="E54" i="15"/>
  <c r="D70" i="15"/>
  <c r="E70" i="15"/>
  <c r="D78" i="15"/>
  <c r="E78" i="15"/>
  <c r="E16" i="15"/>
  <c r="G16" i="15" s="1"/>
  <c r="I16" i="15" s="1"/>
  <c r="D16" i="15"/>
  <c r="F16" i="15" s="1"/>
  <c r="D81" i="15"/>
  <c r="E81" i="15"/>
  <c r="I10" i="15"/>
  <c r="H10" i="15"/>
  <c r="H5" i="15"/>
  <c r="I5" i="15"/>
  <c r="H12" i="15"/>
  <c r="I12" i="15"/>
  <c r="E20" i="15"/>
  <c r="D20" i="15"/>
  <c r="F20" i="15" s="1"/>
  <c r="E28" i="15"/>
  <c r="G28" i="15" s="1"/>
  <c r="I28" i="15" s="1"/>
  <c r="D28" i="15"/>
  <c r="D31" i="15"/>
  <c r="E31" i="15"/>
  <c r="D34" i="15"/>
  <c r="E34" i="15"/>
  <c r="G34" i="15" s="1"/>
  <c r="I34" i="15" s="1"/>
  <c r="D37" i="15"/>
  <c r="E37" i="15"/>
  <c r="E45" i="15"/>
  <c r="D45" i="15"/>
  <c r="D53" i="15"/>
  <c r="E53" i="15"/>
  <c r="D61" i="15"/>
  <c r="E61" i="15"/>
  <c r="D69" i="15"/>
  <c r="E69" i="15"/>
  <c r="D77" i="15"/>
  <c r="E77" i="15"/>
  <c r="D85" i="15"/>
  <c r="E85" i="15"/>
  <c r="X22" i="5"/>
  <c r="Y22" i="5" s="1"/>
  <c r="X20" i="5"/>
  <c r="Y20" i="5" s="1"/>
  <c r="AF22" i="5"/>
  <c r="AF23" i="5"/>
  <c r="X24" i="5"/>
  <c r="Y24" i="5" s="1"/>
  <c r="AF26" i="5"/>
  <c r="AG26" i="5" s="1"/>
  <c r="AH26" i="5" s="1"/>
  <c r="AI26" i="5" s="1"/>
  <c r="AK26" i="5" s="1"/>
  <c r="AF24" i="5"/>
  <c r="AF19" i="5"/>
  <c r="AF21" i="5"/>
  <c r="AF25" i="5"/>
  <c r="AF20" i="5"/>
  <c r="X19" i="5"/>
  <c r="Y19" i="5" s="1"/>
  <c r="X21" i="5"/>
  <c r="Y21" i="5" s="1"/>
  <c r="AF18" i="5"/>
  <c r="AF17" i="5"/>
  <c r="AG17" i="5" s="1"/>
  <c r="X18" i="5"/>
  <c r="Y18" i="5" s="1"/>
  <c r="X17" i="5"/>
  <c r="Y17" i="5" s="1"/>
  <c r="AC20" i="5"/>
  <c r="H11" i="5"/>
  <c r="D32" i="5" s="1"/>
  <c r="AC26" i="5"/>
  <c r="AC24" i="5"/>
  <c r="AC22" i="5"/>
  <c r="AC19" i="5"/>
  <c r="AC25" i="5"/>
  <c r="AC18" i="5"/>
  <c r="AC23" i="5"/>
  <c r="B31" i="15"/>
  <c r="AC17" i="5"/>
  <c r="B3" i="15"/>
  <c r="AC21" i="5"/>
  <c r="AG23" i="5" l="1"/>
  <c r="AH23" i="5" s="1"/>
  <c r="AI23" i="5" s="1"/>
  <c r="AK23" i="5" s="1"/>
  <c r="AG25" i="5"/>
  <c r="AH25" i="5" s="1"/>
  <c r="AI25" i="5" s="1"/>
  <c r="AK25" i="5" s="1"/>
  <c r="H16" i="15"/>
  <c r="H40" i="15"/>
  <c r="H24" i="15"/>
  <c r="H84" i="15"/>
  <c r="H67" i="15"/>
  <c r="H52" i="15"/>
  <c r="H60" i="15"/>
  <c r="H75" i="15"/>
  <c r="H43" i="15"/>
  <c r="H30" i="5"/>
  <c r="G20" i="15"/>
  <c r="I20" i="15" s="1"/>
  <c r="G42" i="15"/>
  <c r="I42" i="15" s="1"/>
  <c r="F86" i="15"/>
  <c r="H86" i="15" s="1"/>
  <c r="G61" i="15"/>
  <c r="I61" i="15" s="1"/>
  <c r="G65" i="15"/>
  <c r="I65" i="15" s="1"/>
  <c r="G76" i="15"/>
  <c r="I76" i="15" s="1"/>
  <c r="G46" i="15"/>
  <c r="I46" i="15" s="1"/>
  <c r="G91" i="15"/>
  <c r="I91" i="15" s="1"/>
  <c r="G48" i="15"/>
  <c r="I48" i="15" s="1"/>
  <c r="F66" i="15"/>
  <c r="H66" i="15" s="1"/>
  <c r="F87" i="15"/>
  <c r="H87" i="15" s="1"/>
  <c r="F22" i="15"/>
  <c r="H22" i="15" s="1"/>
  <c r="F65" i="15"/>
  <c r="H65" i="15" s="1"/>
  <c r="F44" i="15"/>
  <c r="H44" i="15" s="1"/>
  <c r="F46" i="15"/>
  <c r="H46" i="15" s="1"/>
  <c r="G53" i="15"/>
  <c r="I53" i="15" s="1"/>
  <c r="G31" i="15"/>
  <c r="I31" i="15" s="1"/>
  <c r="G32" i="15"/>
  <c r="I32" i="15" s="1"/>
  <c r="G79" i="15"/>
  <c r="I79" i="15" s="1"/>
  <c r="G57" i="15"/>
  <c r="I57" i="15" s="1"/>
  <c r="G51" i="15"/>
  <c r="I51" i="15" s="1"/>
  <c r="F85" i="15"/>
  <c r="H85" i="15" s="1"/>
  <c r="F31" i="15"/>
  <c r="H31" i="15" s="1"/>
  <c r="G78" i="15"/>
  <c r="I78" i="15" s="1"/>
  <c r="G90" i="15"/>
  <c r="I90" i="15" s="1"/>
  <c r="G58" i="15"/>
  <c r="I58" i="15" s="1"/>
  <c r="G17" i="15"/>
  <c r="I17" i="15" s="1"/>
  <c r="F79" i="15"/>
  <c r="H79" i="15" s="1"/>
  <c r="F47" i="15"/>
  <c r="H47" i="15" s="1"/>
  <c r="F57" i="15"/>
  <c r="H57" i="15" s="1"/>
  <c r="F62" i="15"/>
  <c r="H62" i="15" s="1"/>
  <c r="H68" i="15"/>
  <c r="F38" i="15"/>
  <c r="H38" i="15" s="1"/>
  <c r="H83" i="15"/>
  <c r="H51" i="15"/>
  <c r="G23" i="15"/>
  <c r="I23" i="15" s="1"/>
  <c r="F27" i="15"/>
  <c r="H27" i="15" s="1"/>
  <c r="F21" i="15"/>
  <c r="H21" i="15" s="1"/>
  <c r="F48" i="15"/>
  <c r="H48" i="15" s="1"/>
  <c r="F81" i="15"/>
  <c r="H81" i="15" s="1"/>
  <c r="F42" i="15"/>
  <c r="H42" i="15" s="1"/>
  <c r="G19" i="15"/>
  <c r="I19" i="15" s="1"/>
  <c r="F80" i="15"/>
  <c r="H80" i="15" s="1"/>
  <c r="F34" i="15"/>
  <c r="H34" i="15" s="1"/>
  <c r="F32" i="15"/>
  <c r="H32" i="15" s="1"/>
  <c r="F55" i="15"/>
  <c r="H55" i="15" s="1"/>
  <c r="H19" i="15"/>
  <c r="H59" i="15"/>
  <c r="F18" i="15"/>
  <c r="H18" i="15" s="1"/>
  <c r="F25" i="15"/>
  <c r="H25" i="15" s="1"/>
  <c r="F72" i="15"/>
  <c r="H72" i="15" s="1"/>
  <c r="F53" i="15"/>
  <c r="H53" i="15" s="1"/>
  <c r="G77" i="15"/>
  <c r="I77" i="15" s="1"/>
  <c r="F45" i="15"/>
  <c r="H45" i="15" s="1"/>
  <c r="F28" i="15"/>
  <c r="H28" i="15" s="1"/>
  <c r="F78" i="15"/>
  <c r="H78" i="15" s="1"/>
  <c r="F90" i="15"/>
  <c r="H90" i="15" s="1"/>
  <c r="F58" i="15"/>
  <c r="H58" i="15" s="1"/>
  <c r="F17" i="15"/>
  <c r="H17" i="15" s="1"/>
  <c r="G71" i="15"/>
  <c r="I71" i="15" s="1"/>
  <c r="G39" i="15"/>
  <c r="I39" i="15" s="1"/>
  <c r="G89" i="15"/>
  <c r="I89" i="15" s="1"/>
  <c r="G49" i="15"/>
  <c r="I49" i="15" s="1"/>
  <c r="G35" i="15"/>
  <c r="I35" i="15" s="1"/>
  <c r="G60" i="15"/>
  <c r="I60" i="15" s="1"/>
  <c r="G33" i="15"/>
  <c r="I33" i="15" s="1"/>
  <c r="F41" i="15"/>
  <c r="H41" i="15" s="1"/>
  <c r="G29" i="15"/>
  <c r="I29" i="15" s="1"/>
  <c r="G75" i="15"/>
  <c r="I75" i="15" s="1"/>
  <c r="G43" i="15"/>
  <c r="I43" i="15" s="1"/>
  <c r="F64" i="15"/>
  <c r="H64" i="15" s="1"/>
  <c r="F23" i="15"/>
  <c r="H23" i="15" s="1"/>
  <c r="H3" i="15"/>
  <c r="I3" i="15"/>
  <c r="F69" i="15"/>
  <c r="H69" i="15" s="1"/>
  <c r="G81" i="15"/>
  <c r="I81" i="15" s="1"/>
  <c r="G74" i="15"/>
  <c r="I74" i="15" s="1"/>
  <c r="F63" i="15"/>
  <c r="H63" i="15" s="1"/>
  <c r="F30" i="15"/>
  <c r="H30" i="15" s="1"/>
  <c r="F73" i="15"/>
  <c r="H73" i="15" s="1"/>
  <c r="F26" i="15"/>
  <c r="H26" i="15" s="1"/>
  <c r="F54" i="15"/>
  <c r="H54" i="15" s="1"/>
  <c r="G55" i="15"/>
  <c r="I55" i="15" s="1"/>
  <c r="F61" i="15"/>
  <c r="H61" i="15" s="1"/>
  <c r="H76" i="15"/>
  <c r="G85" i="15"/>
  <c r="I85" i="15" s="1"/>
  <c r="G66" i="15"/>
  <c r="I66" i="15" s="1"/>
  <c r="G62" i="15"/>
  <c r="I62" i="15" s="1"/>
  <c r="G68" i="15"/>
  <c r="I68" i="15" s="1"/>
  <c r="G83" i="15"/>
  <c r="I83" i="15" s="1"/>
  <c r="F77" i="15"/>
  <c r="H77" i="15" s="1"/>
  <c r="G45" i="15"/>
  <c r="I45" i="15" s="1"/>
  <c r="G70" i="15"/>
  <c r="I70" i="15" s="1"/>
  <c r="F71" i="15"/>
  <c r="H71" i="15" s="1"/>
  <c r="F39" i="15"/>
  <c r="H39" i="15" s="1"/>
  <c r="F89" i="15"/>
  <c r="H89" i="15" s="1"/>
  <c r="F49" i="15"/>
  <c r="H49" i="15" s="1"/>
  <c r="F35" i="15"/>
  <c r="H35" i="15" s="1"/>
  <c r="F33" i="15"/>
  <c r="H33" i="15" s="1"/>
  <c r="G41" i="15"/>
  <c r="I41" i="15" s="1"/>
  <c r="F29" i="15"/>
  <c r="H29" i="15" s="1"/>
  <c r="F37" i="15"/>
  <c r="H37" i="15" s="1"/>
  <c r="G54" i="15"/>
  <c r="I54" i="15" s="1"/>
  <c r="F74" i="15"/>
  <c r="H74" i="15" s="1"/>
  <c r="G87" i="15"/>
  <c r="I87" i="15" s="1"/>
  <c r="G59" i="15"/>
  <c r="I59" i="15" s="1"/>
  <c r="G25" i="15"/>
  <c r="I25" i="15" s="1"/>
  <c r="H91" i="15"/>
  <c r="F82" i="15"/>
  <c r="H82" i="15" s="1"/>
  <c r="G69" i="15"/>
  <c r="I69" i="15" s="1"/>
  <c r="G37" i="15"/>
  <c r="I37" i="15" s="1"/>
  <c r="H20" i="15"/>
  <c r="F70" i="15"/>
  <c r="H70" i="15" s="1"/>
  <c r="G82" i="15"/>
  <c r="I82" i="15" s="1"/>
  <c r="F50" i="15"/>
  <c r="H50" i="15" s="1"/>
  <c r="G63" i="15"/>
  <c r="I63" i="15" s="1"/>
  <c r="G73" i="15"/>
  <c r="I73" i="15" s="1"/>
  <c r="G24" i="15"/>
  <c r="I24" i="15" s="1"/>
  <c r="G84" i="15"/>
  <c r="I84" i="15" s="1"/>
  <c r="G52" i="15"/>
  <c r="I52" i="15" s="1"/>
  <c r="G86" i="15"/>
  <c r="I86" i="15" s="1"/>
  <c r="G21" i="15"/>
  <c r="I21" i="15" s="1"/>
  <c r="G67" i="15"/>
  <c r="I67" i="15" s="1"/>
  <c r="G26" i="15"/>
  <c r="I26" i="15" s="1"/>
  <c r="F88" i="15"/>
  <c r="H88" i="15" s="1"/>
  <c r="F56" i="15"/>
  <c r="H56" i="15" s="1"/>
  <c r="AG20" i="5"/>
  <c r="AH20" i="5" s="1"/>
  <c r="AI20" i="5" s="1"/>
  <c r="AK20" i="5" s="1"/>
  <c r="AG22" i="5"/>
  <c r="AH22" i="5" s="1"/>
  <c r="AI22" i="5" s="1"/>
  <c r="AK22" i="5" s="1"/>
  <c r="AG19" i="5"/>
  <c r="AH19" i="5" s="1"/>
  <c r="AI19" i="5" s="1"/>
  <c r="AK19" i="5" s="1"/>
  <c r="AG21" i="5"/>
  <c r="AH21" i="5" s="1"/>
  <c r="AI21" i="5" s="1"/>
  <c r="AK21" i="5" s="1"/>
  <c r="AG24" i="5"/>
  <c r="AH24" i="5" s="1"/>
  <c r="AI24" i="5" s="1"/>
  <c r="AK24" i="5" s="1"/>
  <c r="AH17" i="5"/>
  <c r="AI17" i="5" s="1"/>
  <c r="AG18" i="5"/>
  <c r="AH18" i="5" s="1"/>
  <c r="AI18" i="5" s="1"/>
  <c r="AK18" i="5" s="1"/>
  <c r="H31" i="5" l="1"/>
  <c r="N30" i="5" s="1"/>
  <c r="AK17" i="5"/>
  <c r="W30" i="5" s="1"/>
  <c r="AF30" i="5" l="1"/>
  <c r="S30" i="5"/>
  <c r="Y30" i="5"/>
  <c r="AK28" i="5"/>
  <c r="AH30" i="5"/>
  <c r="B36" i="15" l="1"/>
  <c r="H36" i="15" l="1"/>
  <c r="I36" i="15"/>
  <c r="W24" i="26"/>
  <c r="W23" i="26"/>
  <c r="W20" i="26"/>
  <c r="D32" i="26"/>
  <c r="W26" i="26"/>
  <c r="W21" i="26"/>
  <c r="W22" i="26"/>
  <c r="W27" i="26"/>
  <c r="W25" i="26"/>
  <c r="W19" i="26"/>
  <c r="AG19" i="26"/>
  <c r="AG24" i="26"/>
  <c r="AG20" i="26"/>
  <c r="AG27" i="26"/>
  <c r="AG26" i="26"/>
  <c r="AG22" i="26"/>
  <c r="AG25" i="26"/>
  <c r="AG23" i="26"/>
  <c r="AG18" i="26"/>
  <c r="AI18" i="26" s="1"/>
  <c r="AG21" i="26"/>
  <c r="AI27" i="26" l="1"/>
  <c r="AI26" i="26"/>
  <c r="H32" i="26"/>
  <c r="H31" i="26"/>
  <c r="AI20" i="26"/>
  <c r="AI22" i="26"/>
  <c r="AI25" i="26"/>
  <c r="AI24" i="26"/>
  <c r="AI23" i="26"/>
  <c r="AI21" i="26"/>
  <c r="AI19" i="26"/>
  <c r="AD31" i="26" s="1"/>
  <c r="U31" i="26"/>
  <c r="AI29" i="26" l="1"/>
  <c r="M31" i="26" s="1"/>
  <c r="AF31" i="26"/>
  <c r="W31" i="26"/>
  <c r="Q31" i="26"/>
</calcChain>
</file>

<file path=xl/sharedStrings.xml><?xml version="1.0" encoding="utf-8"?>
<sst xmlns="http://schemas.openxmlformats.org/spreadsheetml/2006/main" count="333" uniqueCount="220">
  <si>
    <t>Input</t>
  </si>
  <si>
    <t>Calculation</t>
  </si>
  <si>
    <t>Cells requiring input have an orange background</t>
  </si>
  <si>
    <t>Total</t>
  </si>
  <si>
    <t>Parcel Number</t>
  </si>
  <si>
    <t>Total Acreage</t>
  </si>
  <si>
    <t>Yes</t>
  </si>
  <si>
    <t>Need a little help with unit conversions?  See below.</t>
  </si>
  <si>
    <t>Area Conversions</t>
  </si>
  <si>
    <t>From acres to square feet</t>
  </si>
  <si>
    <t>From square feet to acres</t>
  </si>
  <si>
    <t>acres</t>
  </si>
  <si>
    <t>square feet</t>
  </si>
  <si>
    <t>Unit Conversion Assistance</t>
  </si>
  <si>
    <t>Remaining Impervious Acreage</t>
  </si>
  <si>
    <t>Soils</t>
  </si>
  <si>
    <t>Description</t>
  </si>
  <si>
    <t>Stormwater Practice A</t>
  </si>
  <si>
    <t>Rational Coefficent</t>
  </si>
  <si>
    <t>Downspout Disconnection</t>
  </si>
  <si>
    <t>Detention</t>
  </si>
  <si>
    <t>Impervious Disconnection</t>
  </si>
  <si>
    <t>Bioretention</t>
  </si>
  <si>
    <t>Permeable Pavement</t>
  </si>
  <si>
    <t>Subsurface Detention Storage</t>
  </si>
  <si>
    <t>N/A</t>
  </si>
  <si>
    <t>No</t>
  </si>
  <si>
    <t>Practice Number</t>
  </si>
  <si>
    <t>If you have questions please call or email DWSD</t>
  </si>
  <si>
    <t xml:space="preserve">Email: </t>
  </si>
  <si>
    <t>drainage@detroitmi.gov</t>
  </si>
  <si>
    <t>Phone:</t>
  </si>
  <si>
    <t>Have you conducted an infiltration test on your property?</t>
  </si>
  <si>
    <t>Infiltration Rate:</t>
  </si>
  <si>
    <t>Site Information and Impervious Area Adjustments</t>
  </si>
  <si>
    <t>Advanced Credit Calculator</t>
  </si>
  <si>
    <t>Property Address:</t>
  </si>
  <si>
    <t>GSI Selection, Cross Section, and Size</t>
  </si>
  <si>
    <t xml:space="preserve">Practice Number </t>
  </si>
  <si>
    <t xml:space="preserve">Tributary Drainage Area Description </t>
  </si>
  <si>
    <t>Percent Impervious</t>
  </si>
  <si>
    <t>Stormwater Practice Area (Acres)</t>
  </si>
  <si>
    <t xml:space="preserve">Stormwater Practice </t>
  </si>
  <si>
    <t>GSI Practice Descriptors</t>
  </si>
  <si>
    <t>EWD- Retention Zone (in)</t>
  </si>
  <si>
    <t>EWD-Detention Zone (in)</t>
  </si>
  <si>
    <t>Cells not requiring an input are shown with a gray background and grey typeface</t>
  </si>
  <si>
    <t>Vol 2 yr</t>
  </si>
  <si>
    <t>Rainfall Intensity (I) (10 year)</t>
  </si>
  <si>
    <t>Rainfall Intensity (I) (2year)</t>
  </si>
  <si>
    <t xml:space="preserve">Rational Coefficent </t>
  </si>
  <si>
    <t>Tributary Area (A)</t>
  </si>
  <si>
    <t>Does Practice Qualify for a Volumetric Credit</t>
  </si>
  <si>
    <t>Equivalent Rainfall Depth (in)</t>
  </si>
  <si>
    <t>Practice Ratio</t>
  </si>
  <si>
    <t xml:space="preserve">Volume Credit (%) </t>
  </si>
  <si>
    <t>Practice Volume Credit (%)</t>
  </si>
  <si>
    <t>Site Volume Credit (%)</t>
  </si>
  <si>
    <t>Does Practice Qualify for a Peak Flow Credit</t>
  </si>
  <si>
    <t xml:space="preserve">Q Allowable (cfs) </t>
  </si>
  <si>
    <t>Volume Provided (cf)</t>
  </si>
  <si>
    <t>Peak Flow Credit (%)</t>
  </si>
  <si>
    <t>Practice Peak Flow Credit (%)</t>
  </si>
  <si>
    <t>Site Peak Flow Credit (%)</t>
  </si>
  <si>
    <t>Volumetric Credit Calculator</t>
  </si>
  <si>
    <t>Peak Flow Credit Calculator</t>
  </si>
  <si>
    <t>Impervious Acres Not Managed</t>
  </si>
  <si>
    <t>Orifice Diameter Needed (in)</t>
  </si>
  <si>
    <t xml:space="preserve">Impervious Acres Managed </t>
  </si>
  <si>
    <t xml:space="preserve">Site Summary </t>
  </si>
  <si>
    <t>Total Peak Flow Site Credit:</t>
  </si>
  <si>
    <t>Practice</t>
  </si>
  <si>
    <t xml:space="preserve">Equivalent Water Depth Calculation Sheet </t>
  </si>
  <si>
    <t>Aggregate Depth (in)</t>
  </si>
  <si>
    <t xml:space="preserve">Equivalent Water Depth Calculator </t>
  </si>
  <si>
    <t>Soil Depth (In)</t>
  </si>
  <si>
    <t>Surface Storage (in)</t>
  </si>
  <si>
    <t xml:space="preserve">Inches Underdrain is off the bottom of practice </t>
  </si>
  <si>
    <t>No Information Needed</t>
  </si>
  <si>
    <t>Next Steps</t>
  </si>
  <si>
    <t>Glossary of Terms</t>
  </si>
  <si>
    <t>No Info Needed</t>
  </si>
  <si>
    <t>Formatting Reminder</t>
  </si>
  <si>
    <t>Disclaimer</t>
  </si>
  <si>
    <t xml:space="preserve">Site Credit for Bioretention </t>
  </si>
  <si>
    <t>Site Credit for Permeable Pavement</t>
  </si>
  <si>
    <t xml:space="preserve">Site Credit for Detention </t>
  </si>
  <si>
    <t xml:space="preserve">Site Credit for Subsurface Detention </t>
  </si>
  <si>
    <t>Site Credit for Downspout Disconnection</t>
  </si>
  <si>
    <t>Detention Volume (cf)</t>
  </si>
  <si>
    <t>Calculation cells are shown with a gray background and orange typeface</t>
  </si>
  <si>
    <t>Site Credit for Imp. Disconnection</t>
  </si>
  <si>
    <r>
      <rPr>
        <b/>
        <u/>
        <sz val="11"/>
        <color theme="1"/>
        <rFont val="Arial Narrow"/>
        <family val="2"/>
      </rPr>
      <t>Subsurface Detention Storage</t>
    </r>
    <r>
      <rPr>
        <sz val="11"/>
        <color theme="1"/>
        <rFont val="Arial Narrow"/>
        <family val="2"/>
      </rPr>
      <t xml:space="preserve"> performs the same function as a detention basin however stormwater is routed to underground vaults or a system of large diameter storage pipes.</t>
    </r>
  </si>
  <si>
    <r>
      <rPr>
        <b/>
        <u/>
        <sz val="11"/>
        <color theme="1"/>
        <rFont val="Arial Narrow"/>
        <family val="2"/>
      </rPr>
      <t>Permeable Pavement</t>
    </r>
    <r>
      <rPr>
        <sz val="11"/>
        <color theme="1"/>
        <rFont val="Arial Narrow"/>
        <family val="2"/>
      </rPr>
      <t xml:space="preserve"> is a type of pavement that allows stormwater to infiltrate through it and into the soil. </t>
    </r>
  </si>
  <si>
    <t>Vol 100 yr</t>
  </si>
  <si>
    <t>Simple Step by Step Version</t>
  </si>
  <si>
    <t>Advanced Version</t>
  </si>
  <si>
    <t>Simple Compact Version</t>
  </si>
  <si>
    <t>REFERENCES</t>
  </si>
  <si>
    <t>This sheet is locked and nothing should need to be edited on it.</t>
  </si>
  <si>
    <t xml:space="preserve">How to Use Calculator </t>
  </si>
  <si>
    <t xml:space="preserve">The Next Steps </t>
  </si>
  <si>
    <t xml:space="preserve">Once you have finished filling in your information and a credit has been calculated, go to </t>
  </si>
  <si>
    <r>
      <t xml:space="preserve">For a </t>
    </r>
    <r>
      <rPr>
        <b/>
        <u/>
        <sz val="11"/>
        <color theme="1"/>
        <rFont val="Arial Narrow"/>
        <family val="2"/>
      </rPr>
      <t>Downspout Disconnect</t>
    </r>
  </si>
  <si>
    <r>
      <t xml:space="preserve">For a </t>
    </r>
    <r>
      <rPr>
        <b/>
        <u/>
        <sz val="11"/>
        <color theme="1"/>
        <rFont val="Arial Narrow"/>
        <family val="2"/>
      </rPr>
      <t>Bioretention Practice</t>
    </r>
    <r>
      <rPr>
        <sz val="11"/>
        <color theme="1"/>
        <rFont val="Arial Narrow"/>
        <family val="2"/>
      </rPr>
      <t xml:space="preserve"> located next to a parking lot </t>
    </r>
  </si>
  <si>
    <t xml:space="preserve">The practice area is defined differently for different practices. </t>
  </si>
  <si>
    <t xml:space="preserve">Permeable Pavement </t>
  </si>
  <si>
    <t xml:space="preserve">Detention Storage and Subsurface Detention Storage </t>
  </si>
  <si>
    <t xml:space="preserve">Therefore there is no defined stormwater practice area for either of these practices. </t>
  </si>
  <si>
    <t>Light Green</t>
  </si>
  <si>
    <t>tabs to help calculate some of the inputs needed such as Drainage Areas, Stormwater Practice Areas, and EWD (advanced version only)</t>
  </si>
  <si>
    <t xml:space="preserve">"Next Steps" </t>
  </si>
  <si>
    <t>Tab for your next step options.</t>
  </si>
  <si>
    <t xml:space="preserve">The practice area will differ site by site. </t>
  </si>
  <si>
    <t>The</t>
  </si>
  <si>
    <t xml:space="preserve">Light Orange </t>
  </si>
  <si>
    <t xml:space="preserve">tabs offer additional information and include background information, a unit convertor, a glossary, and the next steps. </t>
  </si>
  <si>
    <t>Total Volume Site Credit:</t>
  </si>
  <si>
    <t>Acres</t>
  </si>
  <si>
    <t xml:space="preserve">Square Feet </t>
  </si>
  <si>
    <r>
      <t>Site Credit</t>
    </r>
    <r>
      <rPr>
        <sz val="11"/>
        <color theme="1"/>
        <rFont val="Arial Narrow"/>
        <family val="2"/>
      </rPr>
      <t xml:space="preserve"> the proration of the practice credit based on how much of the site is managed. </t>
    </r>
  </si>
  <si>
    <r>
      <t xml:space="preserve">Stormwater </t>
    </r>
    <r>
      <rPr>
        <sz val="11"/>
        <color theme="1"/>
        <rFont val="Arial Narrow"/>
        <family val="2"/>
      </rPr>
      <t xml:space="preserve"> is water generated from rain and snowmelt that flows over the land. </t>
    </r>
  </si>
  <si>
    <r>
      <t xml:space="preserve">Infiltration: </t>
    </r>
    <r>
      <rPr>
        <sz val="11"/>
        <color theme="1"/>
        <rFont val="Arial Narrow"/>
        <family val="2"/>
      </rPr>
      <t>the process by which rain soaks into the soil or subsurface.</t>
    </r>
  </si>
  <si>
    <t>Site Impervious Acreage</t>
  </si>
  <si>
    <t>313-267-8000 Opt. 6</t>
  </si>
  <si>
    <t>313-267-8000 opt. 6</t>
  </si>
  <si>
    <t>Total Site Credit (%)</t>
  </si>
  <si>
    <t>TOTAL:</t>
  </si>
  <si>
    <t>Total Credit 
(Rounded):</t>
  </si>
  <si>
    <t>Storm Duration 2 yr (D)</t>
  </si>
  <si>
    <t>Storm Duration 100 yr(D)</t>
  </si>
  <si>
    <t>Short Cuts</t>
  </si>
  <si>
    <t xml:space="preserve">This calculator will help estimate how much credit your site can earn if you install various stormwater management practices. </t>
  </si>
  <si>
    <r>
      <rPr>
        <b/>
        <u/>
        <sz val="11"/>
        <color theme="1"/>
        <rFont val="Arial Narrow"/>
        <family val="2"/>
      </rPr>
      <t>Effective Porosity</t>
    </r>
    <r>
      <rPr>
        <sz val="11"/>
        <color theme="1"/>
        <rFont val="Arial Narrow"/>
        <family val="2"/>
      </rPr>
      <t xml:space="preserve"> is the difference between the total void space and the water that is held in the soil particles due to capillary action. </t>
    </r>
  </si>
  <si>
    <r>
      <rPr>
        <b/>
        <sz val="11"/>
        <color theme="1"/>
        <rFont val="Arial Narrow"/>
        <family val="2"/>
      </rPr>
      <t xml:space="preserve">EWD Retention: </t>
    </r>
    <r>
      <rPr>
        <sz val="11"/>
        <color theme="1"/>
        <rFont val="Arial Narrow"/>
        <family val="2"/>
      </rPr>
      <t xml:space="preserve">The depth of water storage </t>
    </r>
    <r>
      <rPr>
        <i/>
        <u/>
        <sz val="11"/>
        <color theme="1"/>
        <rFont val="Arial Narrow"/>
        <family val="2"/>
      </rPr>
      <t>UNDER</t>
    </r>
    <r>
      <rPr>
        <sz val="11"/>
        <color theme="1"/>
        <rFont val="Arial Narrow"/>
        <family val="2"/>
      </rPr>
      <t xml:space="preserve"> the  Underdrain/Exit Pipe. The depth of water storage is based on soil type and effective porosity</t>
    </r>
  </si>
  <si>
    <r>
      <rPr>
        <b/>
        <sz val="11"/>
        <color theme="1"/>
        <rFont val="Arial Narrow"/>
        <family val="2"/>
      </rPr>
      <t>EWD Detention</t>
    </r>
    <r>
      <rPr>
        <sz val="11"/>
        <color theme="1"/>
        <rFont val="Arial Narrow"/>
        <family val="2"/>
      </rPr>
      <t xml:space="preserve">: The depth of water storage </t>
    </r>
    <r>
      <rPr>
        <i/>
        <u/>
        <sz val="11"/>
        <color theme="1"/>
        <rFont val="Arial Narrow"/>
        <family val="2"/>
      </rPr>
      <t>ABOVE</t>
    </r>
    <r>
      <rPr>
        <sz val="11"/>
        <color theme="1"/>
        <rFont val="Arial Narrow"/>
        <family val="2"/>
      </rPr>
      <t xml:space="preserve"> the  Underdrain/Exit Pipe. The depth of water storage is based on soil type and effective porosity</t>
    </r>
  </si>
  <si>
    <t>Click on square for a shortcut to the following tabs:</t>
  </si>
  <si>
    <t>This tool is for estimating purposes only.  Improper use of the calculator will result in incorrect credits.  Final determination of credits will be made by DWSD after submittal of credit application with required backup documentation.</t>
  </si>
  <si>
    <t>This tool is for estimating purposes only.  Improper use of the calculator will result in incorrect credits.  Final determination of credits will be made by DWSD after submittal of credit application with required backup documentation.</t>
  </si>
  <si>
    <t>Formatting and Nomenclature</t>
  </si>
  <si>
    <t>The following formatting and nomenclature is used throughout this calculator.</t>
  </si>
  <si>
    <t>Maximum EWD (in):</t>
  </si>
  <si>
    <t xml:space="preserve">Converter </t>
  </si>
  <si>
    <t xml:space="preserve">Once you have verified that this information is correct continue to the "Next Steps" tab for information on applying for credit. </t>
  </si>
  <si>
    <t>2 Year Storage Volume Required(cf)</t>
  </si>
  <si>
    <t>100 Year Storage Volume Required(cf)</t>
  </si>
  <si>
    <t>Terms</t>
  </si>
  <si>
    <t>This glossary explains some of the commonly used terms in this credit calculator. Additional information about these terms can also be found in the "A Guide to Credits for Commonly Used Stormwater Management Practices" provided in the link.</t>
  </si>
  <si>
    <t xml:space="preserve">The drainage area is the portion of the roof draining to the downspout that is being disconnected. </t>
  </si>
  <si>
    <r>
      <rPr>
        <b/>
        <u/>
        <sz val="11"/>
        <color theme="1"/>
        <rFont val="Arial Narrow"/>
        <family val="2"/>
      </rPr>
      <t>Equivalent Water Depth (EWD)</t>
    </r>
    <r>
      <rPr>
        <sz val="11"/>
        <color theme="1"/>
        <rFont val="Arial Narrow"/>
        <family val="2"/>
      </rPr>
      <t xml:space="preserve"> defines the depth of water that can be stored in the mix of surface and subsurface storage based on the depth and the effective porosity of each layer.</t>
    </r>
  </si>
  <si>
    <r>
      <rPr>
        <b/>
        <u/>
        <sz val="11"/>
        <color theme="1"/>
        <rFont val="Arial Narrow"/>
        <family val="2"/>
      </rPr>
      <t>Impervious Surfaces</t>
    </r>
    <r>
      <rPr>
        <sz val="11"/>
        <color theme="1"/>
        <rFont val="Arial Narrow"/>
        <family val="2"/>
      </rPr>
      <t xml:space="preserve"> :  are hard surface areas which either prevent or retard the entry of water into the soil in the manner that such water entered the soil under natural conditions pre-existent to development, or which cause water to run off the surface in greater quantities or at an increased rate of flow than that present under natural conditions pre-existent to development, including but not limited to such surfaces as roof tops, crushed stone, gravel, asphalt or concrete paving, driveways and parking lots, walkways, patio areas, storage areas, or other surfaces which similarly affect the natural infiltration or runoff patterns existing prior to development. By definition, surfaces which are driven on, or used for parking are impervious surfaces.</t>
    </r>
  </si>
  <si>
    <r>
      <rPr>
        <b/>
        <u/>
        <sz val="11"/>
        <color theme="1"/>
        <rFont val="Arial Narrow"/>
        <family val="2"/>
      </rPr>
      <t>Managed Impervious  Area</t>
    </r>
    <r>
      <rPr>
        <sz val="11"/>
        <color theme="1"/>
        <rFont val="Arial Narrow"/>
        <family val="2"/>
      </rPr>
      <t xml:space="preserve"> is the impervious area of the property that drains into the stormwater management practice. As it is impervious it only includes the area of surfaces that water cannot flow through. </t>
    </r>
  </si>
  <si>
    <r>
      <rPr>
        <b/>
        <u/>
        <sz val="11"/>
        <color theme="1"/>
        <rFont val="Arial Narrow"/>
        <family val="2"/>
      </rPr>
      <t>Downspout Disconnection</t>
    </r>
    <r>
      <rPr>
        <sz val="11"/>
        <color theme="1"/>
        <rFont val="Arial Narrow"/>
        <family val="2"/>
      </rPr>
      <t xml:space="preserve"> is the process of disconnecting roof downspouts from the sewer system and redirecting the roof runoff onto pervious surfaces, most commonly a lawn. </t>
    </r>
  </si>
  <si>
    <r>
      <rPr>
        <b/>
        <u/>
        <sz val="11"/>
        <color theme="1"/>
        <rFont val="Arial Narrow"/>
        <family val="2"/>
      </rPr>
      <t>Stormwater Practice Area (SWPA)</t>
    </r>
    <r>
      <rPr>
        <sz val="11"/>
        <color theme="1"/>
        <rFont val="Arial Narrow"/>
        <family val="2"/>
      </rPr>
      <t xml:space="preserve"> determines the ability of the practice to infiltrate into the underlying soil. It is the effective area from which infiltration can occur. The area is defined differently for each practice. </t>
    </r>
  </si>
  <si>
    <t xml:space="preserve">The managed impervious area is the portion of the parking lot sloped so that water flows into the bioretention practice. </t>
  </si>
  <si>
    <t xml:space="preserve">Both detention storage and subsurface detention storage use the detention calculation method to calculate the practice's credit. This method uses the storage volume of the practice rather than the area. </t>
  </si>
  <si>
    <t>Practice Type</t>
  </si>
  <si>
    <t xml:space="preserve">Stormwater Practice Area </t>
  </si>
  <si>
    <t xml:space="preserve">Downspout Disconnection </t>
  </si>
  <si>
    <t>Other disconnected Impervious surfaces</t>
  </si>
  <si>
    <t>Length from one end of the downspout to the edge of the property measured along the path that water will flow multiplied by an assumed width equal to 5 feet.</t>
  </si>
  <si>
    <t>Surface area of the bioretention not including the side slopes</t>
  </si>
  <si>
    <t xml:space="preserve">For examples see The Guide for Credits for Commonly Used Stormwater Management Practices. </t>
  </si>
  <si>
    <t>Soil Effective Porosity</t>
  </si>
  <si>
    <t>Aggregate Effective Porosity</t>
  </si>
  <si>
    <t>Managed Impervious Area (Acres)</t>
  </si>
  <si>
    <t>The advanced version of the credit calculator allows the user to specify the stormwater management practices' cross section details and calculate a more accurate credit. For help calculating the EWD, see "EWD Calculator" Tab.</t>
  </si>
  <si>
    <t xml:space="preserve">Refer to the Guide for Credit Application Process and Renewals for more infomratin about the next steps. These next steps may include submitting a credit application, submitting an adjustment application, requesting a site assessment, or requesting additional information. </t>
  </si>
  <si>
    <r>
      <rPr>
        <b/>
        <u/>
        <sz val="11"/>
        <color theme="1"/>
        <rFont val="Arial Narrow"/>
        <family val="2"/>
      </rPr>
      <t>Detention</t>
    </r>
    <r>
      <rPr>
        <sz val="11"/>
        <color theme="1"/>
        <rFont val="Arial Narrow"/>
        <family val="2"/>
      </rPr>
      <t xml:space="preserve"> is a stormwater management practice that temporarily stores stormwater and releases it at a controlled rate. </t>
    </r>
  </si>
  <si>
    <r>
      <rPr>
        <b/>
        <u/>
        <sz val="11"/>
        <color theme="1"/>
        <rFont val="Arial Narrow"/>
        <family val="2"/>
      </rPr>
      <t>Green Stormwater Infrastructure (GSI)</t>
    </r>
    <r>
      <rPr>
        <sz val="11"/>
        <color theme="1"/>
        <rFont val="Arial Narrow"/>
        <family val="2"/>
      </rPr>
      <t xml:space="preserve"> are designed or constructed to reduce or control the volume and rate at which stormwater leaves a site. This is also referred to as a Stormwater Management Practice.</t>
    </r>
  </si>
  <si>
    <t>For more examples, check the "Guide to Credits for Commonly Used Stormwater Management Practices"</t>
  </si>
  <si>
    <t xml:space="preserve">How to Calculate Stormwater Practice Areas </t>
  </si>
  <si>
    <t xml:space="preserve">The Managed Impervious Area is the area from where stormwater is direct to a Green Stormwater Infrastructure (GSI) practice. </t>
  </si>
  <si>
    <r>
      <rPr>
        <b/>
        <sz val="11"/>
        <color theme="1"/>
        <rFont val="Arial Narrow"/>
        <family val="2"/>
      </rPr>
      <t>Example</t>
    </r>
    <r>
      <rPr>
        <sz val="11"/>
        <color theme="1"/>
        <rFont val="Arial Narrow"/>
        <family val="2"/>
      </rPr>
      <t xml:space="preserve">: This example shows which downspouts can earn a credit and the impervious area that drains to each downspout. </t>
    </r>
  </si>
  <si>
    <r>
      <rPr>
        <b/>
        <sz val="11"/>
        <color theme="1"/>
        <rFont val="Arial Narrow"/>
        <family val="2"/>
      </rPr>
      <t>Example:</t>
    </r>
    <r>
      <rPr>
        <sz val="11"/>
        <color theme="1"/>
        <rFont val="Arial Narrow"/>
        <family val="2"/>
      </rPr>
      <t xml:space="preserve"> The managed impervious area does not include the pervious area in the grassy parking lot islands because they produce no runoff to the parking lot. </t>
    </r>
  </si>
  <si>
    <t xml:space="preserve">The stormwater practice area (SWPA) is the area of the practice that allows water to infiltrate, or soak into the ground. </t>
  </si>
  <si>
    <t xml:space="preserve">Shared Practice Site Credit Calculator </t>
  </si>
  <si>
    <t xml:space="preserve">DWSD allows the location of the stormwater management practice to be on a separate parcel from where the stormwater is generated with a shared stormwater practice. This calculator helps calculate the site credit based on the practice's performance. </t>
  </si>
  <si>
    <t>Practice Credit:</t>
  </si>
  <si>
    <t>Owner Number</t>
  </si>
  <si>
    <t>Shared Practice Site Credit Calculator</t>
  </si>
  <si>
    <t>Site 
Credit (%)</t>
  </si>
  <si>
    <t xml:space="preserve">*Practice Credit can be calculated using Credit Calculator </t>
  </si>
  <si>
    <t xml:space="preserve">Maximumn Infiltration Volume </t>
  </si>
  <si>
    <t xml:space="preserve">Physical Characteristics of Practice </t>
  </si>
  <si>
    <t>Total Retention Volume</t>
  </si>
  <si>
    <t>Does the Practice have Side slopes</t>
  </si>
  <si>
    <t>don’t really need this though</t>
  </si>
  <si>
    <t>call this infiltration Area?</t>
  </si>
  <si>
    <t xml:space="preserve">Area at the top of the practice </t>
  </si>
  <si>
    <t xml:space="preserve"> </t>
  </si>
  <si>
    <t>Depth of water at the Surface</t>
  </si>
  <si>
    <t>Retention Volume (cf)</t>
  </si>
  <si>
    <t>Impervious Acreage Removed</t>
  </si>
  <si>
    <t xml:space="preserve"> Input Type </t>
  </si>
  <si>
    <t>Volume Check for Retention</t>
  </si>
  <si>
    <t xml:space="preserve">Practice Information </t>
  </si>
  <si>
    <t>For instances where the infiltration rates are not measured at the practice location, a maximum value of 0.1 inches per hour infiltration rate is permitted.</t>
  </si>
  <si>
    <t xml:space="preserve">Many stormwater management practices rely on the temporary storage of stormwater in designed surface and subsurface storage. This storage occurs on the surface of a practice (such as temporarily ponded water on a bioretention system), and below the surface in layers of soil and aggregate. The performance of the stormwater management practice is directly related to this storage volume. The Equivalent Water Depth(EWD) defines the depth of water that can be stored in the mix of surface and subsurface storage.  </t>
  </si>
  <si>
    <t xml:space="preserve">The surface over which infiltration will naturally occur. This is based on the width of the sheet flow when it leaves the impervious surface multiplied by the length of the flow path in the pervious area. </t>
  </si>
  <si>
    <t xml:space="preserve">Bioretention </t>
  </si>
  <si>
    <t xml:space="preserve">The surface area of the aggregate reservoir layer if the equivalent water depth for retention is provided in the aggregate reservoir. </t>
  </si>
  <si>
    <r>
      <rPr>
        <b/>
        <u/>
        <sz val="11"/>
        <color theme="1"/>
        <rFont val="Arial Narrow"/>
        <family val="2"/>
      </rPr>
      <t>Bioretention</t>
    </r>
    <r>
      <rPr>
        <sz val="11"/>
        <color theme="1"/>
        <rFont val="Arial Narrow"/>
        <family val="2"/>
      </rPr>
      <t xml:space="preserve"> is a water quality practice that is landscaped, shallow depressions that capture and temporarily store stormwater runoff. Runoff intercepted by the practice is then filtered through the soil (often engineered soil filter media). </t>
    </r>
  </si>
  <si>
    <r>
      <t>Combined Sewer</t>
    </r>
    <r>
      <rPr>
        <sz val="11"/>
        <color theme="1"/>
        <rFont val="Arial Narrow"/>
        <family val="2"/>
      </rPr>
      <t xml:space="preserve"> is a sewer that collects both sewerage and rain/snow melt and transports it to a waste water treatment plant.</t>
    </r>
  </si>
  <si>
    <r>
      <rPr>
        <b/>
        <u/>
        <sz val="11"/>
        <color theme="1"/>
        <rFont val="Arial Narrow"/>
        <family val="2"/>
      </rPr>
      <t>Disconnected Impervious Surfaces</t>
    </r>
    <r>
      <rPr>
        <sz val="11"/>
        <color theme="1"/>
        <rFont val="Arial Narrow"/>
        <family val="2"/>
      </rPr>
      <t xml:space="preserve"> are a stormwater management practices that direct runoff from impervious surfaces onto properly sized, sloped, and vegetated surfaces. </t>
    </r>
  </si>
  <si>
    <r>
      <t>Retention</t>
    </r>
    <r>
      <rPr>
        <sz val="11"/>
        <color theme="1"/>
        <rFont val="Arial Narrow"/>
        <family val="2"/>
      </rPr>
      <t xml:space="preserve"> is a stormwater management practice that  permanently reduces stormwater runoff volume. The captured water is reused for irrigation or allowed to naturally infiltrate and evapotranspire.</t>
    </r>
  </si>
  <si>
    <r>
      <rPr>
        <b/>
        <u/>
        <sz val="11"/>
        <color theme="1"/>
        <rFont val="Arial Narrow"/>
        <family val="2"/>
      </rPr>
      <t>2-year 24-hour Storm Event:</t>
    </r>
    <r>
      <rPr>
        <sz val="11"/>
        <color theme="1"/>
        <rFont val="Arial Narrow"/>
        <family val="2"/>
      </rPr>
      <t xml:space="preserve"> the frequency at which a particular amount of rainfalls in a given duration. For a 2-year 24-hour storm, the estimated amount of rainfall is 2.33 inches for Detroit. (NOAA).</t>
    </r>
  </si>
  <si>
    <r>
      <rPr>
        <b/>
        <u/>
        <sz val="11"/>
        <color theme="1"/>
        <rFont val="Arial Narrow"/>
        <family val="2"/>
      </rPr>
      <t>100-year 24-hour Storm Event:</t>
    </r>
    <r>
      <rPr>
        <sz val="11"/>
        <color theme="1"/>
        <rFont val="Arial Narrow"/>
        <family val="2"/>
      </rPr>
      <t xml:space="preserve"> the frequency at which a particular amount of rainfalls in a given duration. For a 100-year 24-hour storm, the estimated amount of rainfall is 5.13 inches for Detroit. (NOAA).</t>
    </r>
  </si>
  <si>
    <t xml:space="preserve">This calculator has a variety of tabs including, Background Information, a Glossary, a Unit Converter, a Next Steps, and a Disclaimer tab. </t>
  </si>
  <si>
    <t xml:space="preserve">How to Determine Drainage Areas </t>
  </si>
  <si>
    <t>inches/hour</t>
  </si>
  <si>
    <t>GSI Practice Type</t>
  </si>
  <si>
    <t>EWDs</t>
  </si>
  <si>
    <t>Storage Volume</t>
  </si>
  <si>
    <t>.</t>
  </si>
  <si>
    <t>Data Input Options</t>
  </si>
  <si>
    <r>
      <rPr>
        <b/>
        <sz val="11"/>
        <color theme="1"/>
        <rFont val="Arial Narrow"/>
        <family val="2"/>
      </rPr>
      <t xml:space="preserve">EWD: </t>
    </r>
    <r>
      <rPr>
        <sz val="11"/>
        <color theme="1"/>
        <rFont val="Arial Narrow"/>
        <family val="2"/>
      </rPr>
      <t xml:space="preserve"> Equivalent Water Depths (EWDs) calculate a volume using the Stormwater Practice Area and EWDs. This option assumes vertical side slopes.                       </t>
    </r>
  </si>
  <si>
    <r>
      <rPr>
        <b/>
        <sz val="11"/>
        <color theme="1"/>
        <rFont val="Arial Narrow"/>
        <family val="2"/>
      </rPr>
      <t>User inputted volumes.</t>
    </r>
    <r>
      <rPr>
        <sz val="11"/>
        <color theme="1"/>
        <rFont val="Arial Narrow"/>
        <family val="2"/>
      </rPr>
      <t xml:space="preserve"> The user may manually input volumes retained and detained into the calculator. When this option is used, the supporting calculations, assumptions, and justifications must be with the credit application. This option allows for detention storage in the side slopes.</t>
    </r>
  </si>
  <si>
    <r>
      <rPr>
        <b/>
        <i/>
        <sz val="11"/>
        <rFont val="Arial Narrow"/>
        <family val="2"/>
      </rPr>
      <t>Note:</t>
    </r>
    <r>
      <rPr>
        <i/>
        <sz val="11"/>
        <rFont val="Arial Narrow"/>
        <family val="2"/>
      </rPr>
      <t xml:space="preserve"> For infiltration, no volume credit will be given for side slopes as typically side slopes are compacted during construction activities. </t>
    </r>
  </si>
  <si>
    <t>Welcome to the Green Stormwater Infrastructure Drainage Credit Calculator Version 2, January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</si>
</sst>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000"/>
  </numFmts>
  <fonts count="52" x14ac:knownFonts="1">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9"/>
      <color theme="4"/>
      <name val="Calibri"/>
      <family val="2"/>
      <scheme val="minor"/>
    </font>
    <font>
      <sz val="11"/>
      <color theme="1"/>
      <name val="Calibri"/>
      <family val="2"/>
      <scheme val="minor"/>
    </font>
    <font>
      <b/>
      <sz val="11"/>
      <color theme="1"/>
      <name val="Calibri"/>
      <family val="2"/>
      <scheme val="minor"/>
    </font>
    <font>
      <sz val="11"/>
      <name val="Calibri"/>
      <family val="2"/>
      <scheme val="minor"/>
    </font>
    <font>
      <sz val="18"/>
      <color theme="1"/>
      <name val="Calibri"/>
      <family val="2"/>
      <scheme val="minor"/>
    </font>
    <font>
      <b/>
      <sz val="11"/>
      <color theme="0"/>
      <name val="Calibri"/>
      <family val="2"/>
      <scheme val="minor"/>
    </font>
    <font>
      <u/>
      <sz val="11"/>
      <color theme="10"/>
      <name val="Calibri"/>
      <family val="2"/>
      <scheme val="minor"/>
    </font>
    <font>
      <b/>
      <sz val="11"/>
      <name val="Calibri"/>
      <family val="2"/>
      <scheme val="minor"/>
    </font>
    <font>
      <b/>
      <sz val="18"/>
      <color theme="3"/>
      <name val="Arial Narrow"/>
      <family val="2"/>
    </font>
    <font>
      <b/>
      <sz val="15"/>
      <color theme="3"/>
      <name val="Arial Narrow"/>
      <family val="2"/>
    </font>
    <font>
      <sz val="10"/>
      <name val="Arial Narrow"/>
      <family val="2"/>
    </font>
    <font>
      <sz val="12"/>
      <color theme="1"/>
      <name val="Arial Narrow"/>
      <family val="2"/>
    </font>
    <font>
      <sz val="11"/>
      <color theme="1"/>
      <name val="Arial Narrow"/>
      <family val="2"/>
    </font>
    <font>
      <sz val="10"/>
      <color rgb="FF3F3F76"/>
      <name val="Arial Narrow"/>
      <family val="2"/>
    </font>
    <font>
      <b/>
      <sz val="10"/>
      <color rgb="FFFA7D00"/>
      <name val="Arial Narrow"/>
      <family val="2"/>
    </font>
    <font>
      <b/>
      <sz val="13"/>
      <color theme="3"/>
      <name val="Arial Narrow"/>
      <family val="2"/>
    </font>
    <font>
      <sz val="10"/>
      <color theme="0" tint="-0.34998626667073579"/>
      <name val="Arial Narrow"/>
      <family val="2"/>
    </font>
    <font>
      <sz val="11"/>
      <color rgb="FF3F3F76"/>
      <name val="Arial Narrow"/>
      <family val="2"/>
    </font>
    <font>
      <b/>
      <sz val="11"/>
      <color rgb="FFFF0000"/>
      <name val="Arial Narrow"/>
      <family val="2"/>
    </font>
    <font>
      <b/>
      <sz val="11"/>
      <color rgb="FFFA7D00"/>
      <name val="Arial Narrow"/>
      <family val="2"/>
    </font>
    <font>
      <b/>
      <sz val="11"/>
      <color theme="3"/>
      <name val="Arial Narrow"/>
      <family val="2"/>
    </font>
    <font>
      <sz val="10"/>
      <color theme="1"/>
      <name val="Arial Narrow"/>
      <family val="2"/>
    </font>
    <font>
      <b/>
      <sz val="12"/>
      <color theme="1"/>
      <name val="Arial Narrow"/>
      <family val="2"/>
    </font>
    <font>
      <b/>
      <sz val="11"/>
      <name val="Arial Narrow"/>
      <family val="2"/>
    </font>
    <font>
      <b/>
      <sz val="11"/>
      <color theme="0"/>
      <name val="Arial Narrow"/>
      <family val="2"/>
    </font>
    <font>
      <u/>
      <sz val="12"/>
      <color theme="10"/>
      <name val="Arial Narrow"/>
      <family val="2"/>
    </font>
    <font>
      <sz val="13"/>
      <color theme="3"/>
      <name val="Arial Narrow"/>
      <family val="2"/>
    </font>
    <font>
      <b/>
      <sz val="11"/>
      <color theme="1"/>
      <name val="Arial Narrow"/>
      <family val="2"/>
    </font>
    <font>
      <sz val="14"/>
      <color theme="1"/>
      <name val="Arial Narrow"/>
      <family val="2"/>
    </font>
    <font>
      <b/>
      <sz val="12"/>
      <color theme="3"/>
      <name val="Arial Narrow"/>
      <family val="2"/>
    </font>
    <font>
      <b/>
      <i/>
      <sz val="11"/>
      <color rgb="FF228CB6"/>
      <name val="Arial Narrow"/>
      <family val="2"/>
    </font>
    <font>
      <i/>
      <u/>
      <sz val="11"/>
      <color theme="1"/>
      <name val="Arial Narrow"/>
      <family val="2"/>
    </font>
    <font>
      <b/>
      <i/>
      <sz val="11"/>
      <color theme="1"/>
      <name val="Arial Narrow"/>
      <family val="2"/>
    </font>
    <font>
      <b/>
      <sz val="12"/>
      <color rgb="FFFA7D00"/>
      <name val="Arial Narrow"/>
      <family val="2"/>
    </font>
    <font>
      <b/>
      <sz val="12"/>
      <name val="Arial Narrow"/>
      <family val="2"/>
    </font>
    <font>
      <sz val="11"/>
      <color theme="0" tint="-0.34998626667073579"/>
      <name val="Arial Narrow"/>
      <family val="2"/>
    </font>
    <font>
      <b/>
      <u/>
      <sz val="11"/>
      <color theme="1"/>
      <name val="Arial Narrow"/>
      <family val="2"/>
    </font>
    <font>
      <sz val="10"/>
      <name val="Calibri"/>
      <family val="2"/>
      <scheme val="minor"/>
    </font>
    <font>
      <i/>
      <sz val="11"/>
      <color theme="1"/>
      <name val="Arial Narrow"/>
      <family val="2"/>
    </font>
    <font>
      <u/>
      <sz val="11"/>
      <name val="Calibri"/>
      <family val="2"/>
      <scheme val="minor"/>
    </font>
    <font>
      <i/>
      <u/>
      <sz val="11"/>
      <name val="Calibri"/>
      <family val="2"/>
      <scheme val="minor"/>
    </font>
    <font>
      <b/>
      <sz val="14"/>
      <name val="Arial Narrow"/>
      <family val="2"/>
    </font>
    <font>
      <sz val="11"/>
      <color theme="0"/>
      <name val="Calibri"/>
      <family val="2"/>
      <scheme val="minor"/>
    </font>
    <font>
      <i/>
      <sz val="11"/>
      <name val="Arial Narrow"/>
      <family val="2"/>
    </font>
    <font>
      <b/>
      <i/>
      <sz val="11"/>
      <name val="Arial Narrow"/>
      <family val="2"/>
    </font>
  </fonts>
  <fills count="14">
    <fill>
      <patternFill patternType="none"/>
    </fill>
    <fill>
      <patternFill patternType="gray125"/>
    </fill>
    <fill>
      <patternFill patternType="solid">
        <fgColor rgb="FFFFCC99"/>
      </patternFill>
    </fill>
    <fill>
      <patternFill patternType="solid">
        <fgColor rgb="FFF2F2F2"/>
      </patternFill>
    </fill>
    <fill>
      <patternFill patternType="solid">
        <fgColor theme="0" tint="-0.24994659260841701"/>
        <bgColor indexed="64"/>
      </patternFill>
    </fill>
    <fill>
      <patternFill patternType="solid">
        <fgColor theme="0" tint="-0.499984740745262"/>
        <bgColor indexed="64"/>
      </patternFill>
    </fill>
    <fill>
      <patternFill patternType="solid">
        <fgColor rgb="FF0070C0"/>
        <bgColor indexed="64"/>
      </patternFill>
    </fill>
    <fill>
      <patternFill patternType="solid">
        <fgColor theme="4"/>
        <bgColor indexed="64"/>
      </patternFill>
    </fill>
    <fill>
      <patternFill patternType="solid">
        <fgColor theme="2"/>
        <bgColor indexed="64"/>
      </patternFill>
    </fill>
    <fill>
      <patternFill patternType="solid">
        <fgColor theme="9"/>
        <bgColor indexed="64"/>
      </patternFill>
    </fill>
    <fill>
      <patternFill patternType="solid">
        <fgColor rgb="FFFFC000"/>
        <bgColor indexed="64"/>
      </patternFill>
    </fill>
    <fill>
      <patternFill patternType="solid">
        <fgColor theme="9"/>
      </patternFill>
    </fill>
    <fill>
      <patternFill patternType="solid">
        <fgColor theme="8" tint="0.79998168889431442"/>
        <bgColor indexed="64"/>
      </patternFill>
    </fill>
    <fill>
      <patternFill patternType="solid">
        <fgColor rgb="FFFFFF00"/>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ck">
        <color theme="4" tint="0.499984740745262"/>
      </top>
      <bottom/>
      <diagonal/>
    </border>
    <border>
      <left style="thin">
        <color indexed="64"/>
      </left>
      <right style="thin">
        <color indexed="64"/>
      </right>
      <top style="thin">
        <color indexed="64"/>
      </top>
      <bottom style="thin">
        <color indexed="64"/>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medium">
        <color theme="4" tint="0.39997558519241921"/>
      </top>
      <bottom/>
      <diagonal/>
    </border>
    <border>
      <left style="thin">
        <color theme="0" tint="-0.34998626667073579"/>
      </left>
      <right/>
      <top/>
      <bottom/>
      <diagonal/>
    </border>
    <border>
      <left/>
      <right style="thin">
        <color theme="0" tint="-0.34998626667073579"/>
      </right>
      <top/>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right/>
      <top style="thick">
        <color theme="4" tint="0.499984740745262"/>
      </top>
      <bottom style="thin">
        <color rgb="FF7F7F7F"/>
      </bottom>
      <diagonal/>
    </border>
    <border>
      <left/>
      <right/>
      <top style="thick">
        <color theme="4"/>
      </top>
      <bottom/>
      <diagonal/>
    </border>
    <border>
      <left/>
      <right/>
      <top style="medium">
        <color theme="4" tint="0.39997558519241921"/>
      </top>
      <bottom style="thin">
        <color rgb="FF7F7F7F"/>
      </bottom>
      <diagonal/>
    </border>
    <border>
      <left style="thin">
        <color theme="0" tint="-0.34998626667073579"/>
      </left>
      <right/>
      <top style="thin">
        <color rgb="FF7F7F7F"/>
      </top>
      <bottom style="thin">
        <color rgb="FF7F7F7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7F7F7F"/>
      </right>
      <top style="medium">
        <color indexed="64"/>
      </top>
      <bottom/>
      <diagonal/>
    </border>
    <border>
      <left style="thin">
        <color rgb="FF7F7F7F"/>
      </left>
      <right style="medium">
        <color indexed="64"/>
      </right>
      <top style="medium">
        <color indexed="64"/>
      </top>
      <bottom style="thin">
        <color rgb="FF7F7F7F"/>
      </bottom>
      <diagonal/>
    </border>
    <border>
      <left style="medium">
        <color indexed="64"/>
      </left>
      <right style="thin">
        <color rgb="FF7F7F7F"/>
      </right>
      <top/>
      <bottom style="medium">
        <color indexed="64"/>
      </bottom>
      <diagonal/>
    </border>
    <border>
      <left style="thin">
        <color rgb="FF7F7F7F"/>
      </left>
      <right style="medium">
        <color indexed="64"/>
      </right>
      <top style="thin">
        <color rgb="FF7F7F7F"/>
      </top>
      <bottom style="medium">
        <color indexed="64"/>
      </bottom>
      <diagonal/>
    </border>
    <border>
      <left/>
      <right/>
      <top style="thin">
        <color indexed="64"/>
      </top>
      <bottom style="thin">
        <color indexed="64"/>
      </bottom>
      <diagonal/>
    </border>
    <border>
      <left/>
      <right/>
      <top/>
      <bottom style="thin">
        <color rgb="FF7F7F7F"/>
      </bottom>
      <diagonal/>
    </border>
  </borders>
  <cellStyleXfs count="13">
    <xf numFmtId="0" fontId="0" fillId="0" borderId="0"/>
    <xf numFmtId="0" fontId="1" fillId="0" borderId="1" applyNumberFormat="0" applyFill="0" applyAlignment="0" applyProtection="0"/>
    <xf numFmtId="0" fontId="2" fillId="0" borderId="2" applyNumberFormat="0" applyFill="0" applyAlignment="0" applyProtection="0"/>
    <xf numFmtId="0" fontId="3" fillId="0" borderId="3" applyNumberFormat="0" applyFill="0" applyAlignment="0" applyProtection="0"/>
    <xf numFmtId="0" fontId="4" fillId="2" borderId="4" applyNumberFormat="0" applyAlignment="0" applyProtection="0"/>
    <xf numFmtId="0" fontId="5" fillId="3" borderId="5" applyNumberFormat="0" applyAlignment="0" applyProtection="0"/>
    <xf numFmtId="0" fontId="6" fillId="3" borderId="4" applyNumberFormat="0" applyAlignment="0" applyProtection="0"/>
    <xf numFmtId="0" fontId="7" fillId="4" borderId="0" applyAlignment="0">
      <alignment horizontal="right"/>
    </xf>
    <xf numFmtId="9" fontId="8" fillId="0" borderId="0" applyFont="0" applyFill="0" applyBorder="0" applyAlignment="0" applyProtection="0"/>
    <xf numFmtId="0" fontId="13" fillId="0" borderId="0" applyNumberFormat="0" applyFill="0" applyBorder="0" applyAlignment="0" applyProtection="0"/>
    <xf numFmtId="0" fontId="2" fillId="0" borderId="2" applyNumberFormat="0" applyFill="0" applyAlignment="0" applyProtection="0"/>
    <xf numFmtId="0" fontId="14" fillId="3" borderId="4" applyNumberFormat="0" applyAlignment="0" applyProtection="0"/>
    <xf numFmtId="0" fontId="49" fillId="11" borderId="0" applyNumberFormat="0" applyBorder="0" applyAlignment="0" applyProtection="0"/>
  </cellStyleXfs>
  <cellXfs count="277">
    <xf numFmtId="0" fontId="0" fillId="0" borderId="0" xfId="0"/>
    <xf numFmtId="0" fontId="2" fillId="0" borderId="2" xfId="2"/>
    <xf numFmtId="0" fontId="1" fillId="0" borderId="1" xfId="1"/>
    <xf numFmtId="0" fontId="0" fillId="0" borderId="0" xfId="0" applyAlignment="1">
      <alignment horizontal="center"/>
    </xf>
    <xf numFmtId="0" fontId="0" fillId="0" borderId="0" xfId="0" applyAlignment="1">
      <alignment wrapText="1"/>
    </xf>
    <xf numFmtId="0" fontId="0" fillId="0" borderId="0" xfId="0" applyFill="1"/>
    <xf numFmtId="0" fontId="9" fillId="0" borderId="0" xfId="0" applyFont="1" applyAlignment="1">
      <alignment vertical="center" wrapText="1"/>
    </xf>
    <xf numFmtId="0" fontId="11" fillId="0" borderId="0" xfId="0" applyFont="1" applyFill="1"/>
    <xf numFmtId="0" fontId="9" fillId="0" borderId="0" xfId="0" applyFont="1"/>
    <xf numFmtId="0" fontId="9" fillId="0" borderId="0" xfId="0" applyFont="1" applyAlignment="1">
      <alignment horizontal="center" wrapText="1"/>
    </xf>
    <xf numFmtId="0" fontId="0" fillId="0" borderId="0" xfId="0" applyAlignment="1">
      <alignment horizontal="right"/>
    </xf>
    <xf numFmtId="0" fontId="9" fillId="0" borderId="0" xfId="0" applyFont="1" applyAlignment="1">
      <alignment wrapText="1"/>
    </xf>
    <xf numFmtId="0" fontId="9" fillId="0" borderId="0" xfId="0" applyFont="1" applyAlignment="1">
      <alignment horizontal="center" vertical="center" wrapText="1"/>
    </xf>
    <xf numFmtId="2" fontId="0" fillId="0" borderId="0" xfId="0" applyNumberFormat="1"/>
    <xf numFmtId="2" fontId="0" fillId="0" borderId="0" xfId="0" applyNumberFormat="1" applyAlignment="1">
      <alignment horizontal="center" wrapText="1"/>
    </xf>
    <xf numFmtId="0" fontId="0" fillId="0" borderId="0" xfId="0" applyAlignment="1"/>
    <xf numFmtId="0" fontId="0" fillId="0" borderId="0" xfId="0"/>
    <xf numFmtId="0" fontId="16" fillId="0" borderId="1" xfId="1" applyFont="1"/>
    <xf numFmtId="0" fontId="18" fillId="0" borderId="0" xfId="0" applyFont="1"/>
    <xf numFmtId="0" fontId="19" fillId="0" borderId="0" xfId="0" applyFont="1"/>
    <xf numFmtId="0" fontId="22" fillId="0" borderId="2" xfId="2" applyFont="1"/>
    <xf numFmtId="0" fontId="19" fillId="0" borderId="0" xfId="0" applyFont="1" applyAlignment="1">
      <alignment horizontal="right"/>
    </xf>
    <xf numFmtId="0" fontId="24" fillId="2" borderId="4" xfId="4" applyFont="1" applyAlignment="1">
      <alignment horizontal="center"/>
    </xf>
    <xf numFmtId="0" fontId="26" fillId="3" borderId="4" xfId="6" applyFont="1" applyAlignment="1">
      <alignment horizontal="center"/>
    </xf>
    <xf numFmtId="0" fontId="28" fillId="0" borderId="0" xfId="0" applyFont="1" applyAlignment="1">
      <alignment horizontal="center" vertical="center" wrapText="1"/>
    </xf>
    <xf numFmtId="0" fontId="19" fillId="0" borderId="0" xfId="0" applyFont="1" applyAlignment="1">
      <alignment vertical="top" wrapText="1"/>
    </xf>
    <xf numFmtId="0" fontId="29" fillId="0" borderId="0" xfId="0" applyFont="1"/>
    <xf numFmtId="0" fontId="19" fillId="0" borderId="0" xfId="0" applyFont="1" applyAlignment="1"/>
    <xf numFmtId="0" fontId="18" fillId="0" borderId="0" xfId="0" applyFont="1" applyAlignment="1">
      <alignment wrapText="1"/>
    </xf>
    <xf numFmtId="0" fontId="19" fillId="0" borderId="0" xfId="0" applyFont="1" applyBorder="1" applyAlignment="1">
      <alignment horizontal="center" vertical="center" wrapText="1"/>
    </xf>
    <xf numFmtId="0" fontId="19" fillId="0" borderId="0" xfId="0" applyFont="1" applyAlignment="1">
      <alignment horizontal="center"/>
    </xf>
    <xf numFmtId="0" fontId="33" fillId="0" borderId="0" xfId="0" applyFont="1"/>
    <xf numFmtId="0" fontId="19" fillId="0" borderId="0" xfId="0" applyFont="1" applyAlignment="1">
      <alignment wrapText="1"/>
    </xf>
    <xf numFmtId="0" fontId="36" fillId="0" borderId="1" xfId="1" applyFont="1"/>
    <xf numFmtId="0" fontId="37" fillId="0" borderId="0" xfId="0" applyFont="1" applyAlignment="1">
      <alignment horizontal="left" vertical="center"/>
    </xf>
    <xf numFmtId="0" fontId="24" fillId="2" borderId="4" xfId="4" applyFont="1" applyAlignment="1"/>
    <xf numFmtId="0" fontId="26" fillId="3" borderId="4" xfId="6" applyFont="1" applyAlignment="1"/>
    <xf numFmtId="0" fontId="22" fillId="0" borderId="2" xfId="10" applyFont="1"/>
    <xf numFmtId="0" fontId="27" fillId="0" borderId="3" xfId="3" applyFont="1"/>
    <xf numFmtId="2" fontId="24" fillId="2" borderId="4" xfId="4" applyNumberFormat="1" applyFont="1"/>
    <xf numFmtId="2" fontId="26" fillId="3" borderId="4" xfId="6" applyNumberFormat="1" applyFont="1"/>
    <xf numFmtId="0" fontId="32" fillId="0" borderId="0" xfId="9" applyFont="1"/>
    <xf numFmtId="0" fontId="19" fillId="0" borderId="0" xfId="0" applyFont="1" applyAlignment="1">
      <alignment horizontal="left" wrapText="1"/>
    </xf>
    <xf numFmtId="0" fontId="34" fillId="0" borderId="0" xfId="0" applyFont="1" applyAlignment="1">
      <alignment vertical="center"/>
    </xf>
    <xf numFmtId="0" fontId="19" fillId="0" borderId="0" xfId="0" applyFont="1" applyAlignment="1">
      <alignment horizontal="left" vertical="center" wrapText="1"/>
    </xf>
    <xf numFmtId="3" fontId="26" fillId="3" borderId="4" xfId="6" applyNumberFormat="1" applyFont="1"/>
    <xf numFmtId="3" fontId="24" fillId="2" borderId="4" xfId="4" applyNumberFormat="1" applyFont="1"/>
    <xf numFmtId="0" fontId="0" fillId="0" borderId="0" xfId="0"/>
    <xf numFmtId="0" fontId="0" fillId="0" borderId="0" xfId="0"/>
    <xf numFmtId="0" fontId="3" fillId="0" borderId="3" xfId="3"/>
    <xf numFmtId="0" fontId="0" fillId="0" borderId="0" xfId="0"/>
    <xf numFmtId="0" fontId="19" fillId="0" borderId="0" xfId="0" applyFont="1" applyAlignment="1">
      <alignment horizontal="left" wrapText="1"/>
    </xf>
    <xf numFmtId="0" fontId="0" fillId="0" borderId="0" xfId="0"/>
    <xf numFmtId="0" fontId="0" fillId="0" borderId="0" xfId="0"/>
    <xf numFmtId="0" fontId="10" fillId="0" borderId="0" xfId="0" applyFont="1" applyFill="1"/>
    <xf numFmtId="0" fontId="44" fillId="0" borderId="0" xfId="0" applyFont="1" applyFill="1"/>
    <xf numFmtId="0" fontId="19" fillId="0" borderId="0" xfId="0" applyFont="1" applyBorder="1" applyAlignment="1">
      <alignment horizontal="left"/>
    </xf>
    <xf numFmtId="0" fontId="19" fillId="0" borderId="0" xfId="0" applyFont="1"/>
    <xf numFmtId="0" fontId="22" fillId="0" borderId="2" xfId="2" applyFont="1" applyAlignment="1">
      <alignment horizontal="left" wrapText="1"/>
    </xf>
    <xf numFmtId="0" fontId="19" fillId="0" borderId="0" xfId="0" applyFont="1" applyBorder="1" applyAlignment="1">
      <alignment horizontal="right"/>
    </xf>
    <xf numFmtId="0" fontId="45" fillId="9" borderId="0" xfId="0" applyFont="1" applyFill="1" applyBorder="1" applyAlignment="1">
      <alignment horizontal="left"/>
    </xf>
    <xf numFmtId="0" fontId="46" fillId="10" borderId="0" xfId="9" applyFont="1" applyFill="1" applyAlignment="1"/>
    <xf numFmtId="0" fontId="39" fillId="0" borderId="0" xfId="0" applyFont="1"/>
    <xf numFmtId="0" fontId="45" fillId="10" borderId="0" xfId="0" applyFont="1" applyFill="1" applyBorder="1" applyAlignment="1">
      <alignment horizontal="left"/>
    </xf>
    <xf numFmtId="0" fontId="0" fillId="0" borderId="0" xfId="0"/>
    <xf numFmtId="0" fontId="19" fillId="0" borderId="0" xfId="0" applyFont="1"/>
    <xf numFmtId="0" fontId="19" fillId="0" borderId="0" xfId="0" applyFont="1" applyAlignment="1">
      <alignment horizontal="left" wrapText="1"/>
    </xf>
    <xf numFmtId="0" fontId="0" fillId="0" borderId="0" xfId="0"/>
    <xf numFmtId="0" fontId="26" fillId="3" borderId="4" xfId="6" applyFont="1" applyAlignment="1">
      <alignment horizontal="center"/>
    </xf>
    <xf numFmtId="0" fontId="19" fillId="0" borderId="0" xfId="0" applyFont="1" applyAlignment="1">
      <alignment horizontal="left" wrapText="1"/>
    </xf>
    <xf numFmtId="0" fontId="0" fillId="0" borderId="0" xfId="0"/>
    <xf numFmtId="0" fontId="19" fillId="0" borderId="0" xfId="0" applyFont="1"/>
    <xf numFmtId="9" fontId="26" fillId="3" borderId="4" xfId="8" applyFont="1" applyFill="1" applyBorder="1" applyAlignment="1" applyProtection="1">
      <alignment horizontal="center" vertical="center"/>
    </xf>
    <xf numFmtId="0" fontId="26" fillId="3" borderId="9" xfId="6" applyFont="1" applyBorder="1" applyAlignment="1" applyProtection="1">
      <alignment horizontal="center" vertical="center" wrapText="1"/>
    </xf>
    <xf numFmtId="2" fontId="26" fillId="3" borderId="4" xfId="6" applyNumberFormat="1" applyFont="1" applyAlignment="1" applyProtection="1">
      <alignment horizontal="center" vertical="center" wrapText="1"/>
    </xf>
    <xf numFmtId="10" fontId="26" fillId="3" borderId="4" xfId="8" applyNumberFormat="1" applyFont="1" applyFill="1" applyBorder="1" applyAlignment="1" applyProtection="1">
      <alignment horizontal="center" vertical="center" wrapText="1"/>
    </xf>
    <xf numFmtId="10" fontId="26" fillId="3" borderId="4" xfId="8" applyNumberFormat="1" applyFont="1" applyFill="1" applyBorder="1" applyAlignment="1" applyProtection="1">
      <alignment horizontal="center" vertical="center"/>
    </xf>
    <xf numFmtId="10" fontId="30" fillId="3" borderId="4" xfId="8" applyNumberFormat="1" applyFont="1" applyFill="1" applyBorder="1" applyAlignment="1" applyProtection="1">
      <alignment horizontal="center" vertical="center"/>
    </xf>
    <xf numFmtId="165" fontId="26" fillId="3" borderId="4" xfId="6" applyNumberFormat="1" applyFont="1" applyAlignment="1" applyProtection="1">
      <alignment horizontal="center" vertical="center" wrapText="1"/>
    </xf>
    <xf numFmtId="165" fontId="26" fillId="3" borderId="4" xfId="6" applyNumberFormat="1" applyFont="1" applyAlignment="1" applyProtection="1">
      <alignment horizontal="center" vertical="center"/>
    </xf>
    <xf numFmtId="10" fontId="26" fillId="3" borderId="4" xfId="6" applyNumberFormat="1" applyFont="1" applyAlignment="1" applyProtection="1">
      <alignment horizontal="center" vertical="center" wrapText="1"/>
    </xf>
    <xf numFmtId="10" fontId="26" fillId="3" borderId="4" xfId="6" applyNumberFormat="1" applyFont="1" applyAlignment="1" applyProtection="1">
      <alignment horizontal="center" vertical="center"/>
    </xf>
    <xf numFmtId="0" fontId="15" fillId="0" borderId="1" xfId="1" applyFont="1" applyProtection="1">
      <protection locked="0"/>
    </xf>
    <xf numFmtId="0" fontId="16" fillId="0" borderId="1" xfId="1" applyFont="1" applyProtection="1">
      <protection locked="0"/>
    </xf>
    <xf numFmtId="0" fontId="0" fillId="0" borderId="0" xfId="0" applyProtection="1">
      <protection locked="0"/>
    </xf>
    <xf numFmtId="0" fontId="18" fillId="0" borderId="0" xfId="0" applyFont="1" applyProtection="1">
      <protection locked="0"/>
    </xf>
    <xf numFmtId="0" fontId="19" fillId="0" borderId="0" xfId="0" applyFont="1" applyProtection="1">
      <protection locked="0"/>
    </xf>
    <xf numFmtId="0" fontId="22" fillId="0" borderId="2" xfId="2" applyFont="1" applyProtection="1">
      <protection locked="0"/>
    </xf>
    <xf numFmtId="0" fontId="2" fillId="0" borderId="2" xfId="2" applyProtection="1">
      <protection locked="0"/>
    </xf>
    <xf numFmtId="0" fontId="19" fillId="0" borderId="0" xfId="0" applyFont="1" applyAlignment="1" applyProtection="1">
      <alignment horizontal="right"/>
      <protection locked="0"/>
    </xf>
    <xf numFmtId="0" fontId="19" fillId="0" borderId="0" xfId="0" applyFont="1" applyBorder="1" applyAlignment="1" applyProtection="1">
      <alignment horizontal="left" vertical="top"/>
      <protection locked="0"/>
    </xf>
    <xf numFmtId="0" fontId="19" fillId="0" borderId="0" xfId="0" applyFont="1" applyBorder="1" applyAlignment="1" applyProtection="1">
      <alignment horizontal="right" vertical="top"/>
      <protection locked="0"/>
    </xf>
    <xf numFmtId="0" fontId="24" fillId="2" borderId="7" xfId="4" applyFont="1" applyBorder="1" applyAlignment="1" applyProtection="1">
      <alignment horizontal="center"/>
      <protection locked="0"/>
    </xf>
    <xf numFmtId="0" fontId="24" fillId="2" borderId="0" xfId="4" applyFont="1" applyBorder="1" applyAlignment="1" applyProtection="1">
      <protection locked="0"/>
    </xf>
    <xf numFmtId="0" fontId="19" fillId="0" borderId="0" xfId="0" applyFont="1" applyAlignment="1" applyProtection="1">
      <alignment horizontal="center" vertical="center" wrapText="1"/>
      <protection locked="0"/>
    </xf>
    <xf numFmtId="0" fontId="19" fillId="0" borderId="0" xfId="0" applyFont="1" applyAlignment="1" applyProtection="1">
      <alignment horizontal="left"/>
      <protection locked="0"/>
    </xf>
    <xf numFmtId="49" fontId="24" fillId="2" borderId="4" xfId="4" applyNumberFormat="1" applyFont="1" applyAlignment="1" applyProtection="1">
      <alignment horizontal="left"/>
      <protection locked="0"/>
    </xf>
    <xf numFmtId="2" fontId="24" fillId="2" borderId="4" xfId="4" applyNumberFormat="1" applyFont="1" applyAlignment="1" applyProtection="1">
      <alignment horizontal="center"/>
      <protection locked="0"/>
    </xf>
    <xf numFmtId="2" fontId="0" fillId="0" borderId="0" xfId="0" applyNumberFormat="1" applyProtection="1">
      <protection locked="0"/>
    </xf>
    <xf numFmtId="0" fontId="4" fillId="2" borderId="4" xfId="4" applyProtection="1">
      <protection locked="0"/>
    </xf>
    <xf numFmtId="0" fontId="19" fillId="0" borderId="0" xfId="0" applyFont="1" applyAlignment="1" applyProtection="1">
      <alignment horizontal="center" vertical="center"/>
      <protection locked="0"/>
    </xf>
    <xf numFmtId="0" fontId="19" fillId="0" borderId="0" xfId="0" applyFont="1" applyAlignment="1" applyProtection="1">
      <alignment vertical="center" wrapText="1"/>
      <protection locked="0"/>
    </xf>
    <xf numFmtId="0" fontId="3" fillId="0" borderId="3" xfId="3" applyAlignment="1" applyProtection="1">
      <alignment horizontal="center" vertical="center"/>
      <protection locked="0"/>
    </xf>
    <xf numFmtId="0" fontId="0" fillId="0" borderId="0" xfId="0" applyAlignment="1" applyProtection="1">
      <alignment horizontal="center" vertical="center"/>
      <protection locked="0"/>
    </xf>
    <xf numFmtId="0" fontId="19" fillId="0" borderId="0" xfId="0" applyFont="1" applyAlignment="1" applyProtection="1">
      <alignment vertical="top" wrapText="1"/>
      <protection locked="0"/>
    </xf>
    <xf numFmtId="0" fontId="19" fillId="0" borderId="0" xfId="0" applyFont="1" applyFill="1" applyBorder="1" applyAlignment="1" applyProtection="1">
      <alignment horizontal="center" vertical="center" wrapText="1"/>
      <protection locked="0"/>
    </xf>
    <xf numFmtId="0" fontId="19" fillId="0" borderId="0" xfId="0" applyFont="1" applyBorder="1" applyAlignment="1" applyProtection="1">
      <alignment horizontal="center" vertical="center" wrapText="1"/>
      <protection locked="0"/>
    </xf>
    <xf numFmtId="0" fontId="30" fillId="0" borderId="0" xfId="0" applyFont="1" applyAlignment="1" applyProtection="1">
      <alignment horizontal="center" vertical="top" wrapText="1"/>
      <protection locked="0"/>
    </xf>
    <xf numFmtId="0" fontId="19" fillId="0" borderId="10" xfId="0" applyFont="1" applyBorder="1" applyAlignment="1" applyProtection="1">
      <alignment horizontal="center" vertical="center"/>
      <protection locked="0"/>
    </xf>
    <xf numFmtId="0" fontId="24" fillId="2" borderId="4" xfId="4" applyFont="1" applyAlignment="1" applyProtection="1">
      <alignment horizontal="center" vertical="center" wrapText="1"/>
      <protection locked="0"/>
    </xf>
    <xf numFmtId="0" fontId="24" fillId="2" borderId="4" xfId="4" applyFont="1" applyAlignment="1" applyProtection="1">
      <alignment horizontal="center" vertical="center"/>
      <protection locked="0"/>
    </xf>
    <xf numFmtId="0" fontId="24" fillId="2" borderId="8" xfId="4" applyFont="1" applyBorder="1" applyAlignment="1" applyProtection="1">
      <alignment horizontal="center" vertical="center"/>
      <protection locked="0"/>
    </xf>
    <xf numFmtId="0" fontId="26" fillId="3" borderId="9" xfId="6" applyFont="1" applyBorder="1" applyAlignment="1" applyProtection="1">
      <alignment horizontal="center" vertical="center"/>
      <protection locked="0"/>
    </xf>
    <xf numFmtId="2" fontId="26" fillId="3" borderId="0" xfId="6" applyNumberFormat="1" applyFont="1" applyBorder="1" applyAlignment="1" applyProtection="1">
      <alignment horizontal="center" vertical="center" wrapText="1"/>
      <protection locked="0"/>
    </xf>
    <xf numFmtId="0" fontId="19" fillId="0" borderId="0" xfId="0" applyFont="1" applyBorder="1" applyAlignment="1" applyProtection="1">
      <alignment horizontal="center" vertical="center"/>
      <protection locked="0"/>
    </xf>
    <xf numFmtId="0" fontId="30" fillId="3" borderId="0" xfId="6" applyFont="1" applyBorder="1" applyAlignment="1" applyProtection="1">
      <alignment horizontal="center" vertical="center"/>
      <protection locked="0"/>
    </xf>
    <xf numFmtId="2" fontId="26" fillId="3" borderId="4" xfId="6" applyNumberFormat="1" applyFont="1" applyAlignment="1" applyProtection="1">
      <alignment horizontal="center" vertical="center"/>
      <protection locked="0"/>
    </xf>
    <xf numFmtId="10" fontId="30" fillId="3" borderId="4" xfId="6" applyNumberFormat="1" applyFont="1" applyAlignment="1" applyProtection="1">
      <alignment horizontal="center" vertical="center"/>
      <protection locked="0"/>
    </xf>
    <xf numFmtId="2" fontId="26" fillId="3" borderId="0" xfId="6" applyNumberFormat="1" applyFont="1" applyBorder="1" applyAlignment="1" applyProtection="1">
      <alignment horizontal="center" vertical="center"/>
      <protection locked="0"/>
    </xf>
    <xf numFmtId="0" fontId="27" fillId="0" borderId="2" xfId="2" applyFont="1" applyProtection="1">
      <protection locked="0"/>
    </xf>
    <xf numFmtId="0" fontId="3" fillId="0" borderId="2" xfId="2" applyFont="1" applyProtection="1">
      <protection locked="0"/>
    </xf>
    <xf numFmtId="0" fontId="3" fillId="0" borderId="0" xfId="2" applyFont="1" applyBorder="1" applyProtection="1">
      <protection locked="0"/>
    </xf>
    <xf numFmtId="0" fontId="27" fillId="0" borderId="0" xfId="2" applyFont="1" applyBorder="1" applyProtection="1">
      <protection locked="0"/>
    </xf>
    <xf numFmtId="0" fontId="34" fillId="0" borderId="0" xfId="0" applyFont="1" applyAlignment="1" applyProtection="1">
      <alignment horizontal="right"/>
      <protection locked="0"/>
    </xf>
    <xf numFmtId="0" fontId="31" fillId="7" borderId="0" xfId="0" applyFont="1" applyFill="1" applyBorder="1" applyAlignment="1" applyProtection="1">
      <alignment horizontal="center" vertical="center" wrapText="1"/>
      <protection locked="0"/>
    </xf>
    <xf numFmtId="0" fontId="0" fillId="0" borderId="0" xfId="0"/>
    <xf numFmtId="166" fontId="24" fillId="2" borderId="4" xfId="4" applyNumberFormat="1" applyFont="1" applyAlignment="1" applyProtection="1">
      <alignment horizontal="center" vertical="center"/>
      <protection locked="0"/>
    </xf>
    <xf numFmtId="0" fontId="19" fillId="0" borderId="0" xfId="0" applyFont="1" applyAlignment="1">
      <alignment horizontal="center" vertical="top" wrapText="1"/>
    </xf>
    <xf numFmtId="0" fontId="47" fillId="0" borderId="0" xfId="9" applyFont="1" applyFill="1" applyAlignment="1">
      <alignment horizontal="center" vertical="top" wrapText="1"/>
    </xf>
    <xf numFmtId="0" fontId="0" fillId="0" borderId="0" xfId="0"/>
    <xf numFmtId="0" fontId="19" fillId="0" borderId="0" xfId="0" applyFont="1" applyAlignment="1">
      <alignment horizontal="center" vertical="top" wrapText="1"/>
    </xf>
    <xf numFmtId="0" fontId="0" fillId="0" borderId="0" xfId="0" applyAlignment="1">
      <alignment horizontal="center"/>
    </xf>
    <xf numFmtId="10" fontId="30" fillId="3" borderId="5" xfId="8" applyNumberFormat="1" applyFont="1" applyFill="1" applyBorder="1" applyAlignment="1" applyProtection="1">
      <alignment horizontal="center" vertical="center"/>
    </xf>
    <xf numFmtId="10" fontId="30" fillId="3" borderId="5" xfId="5" applyNumberFormat="1" applyFont="1" applyProtection="1"/>
    <xf numFmtId="0" fontId="18" fillId="0" borderId="7" xfId="0" applyFont="1" applyBorder="1" applyProtection="1"/>
    <xf numFmtId="0" fontId="19" fillId="0" borderId="7" xfId="0" applyFont="1" applyBorder="1" applyProtection="1"/>
    <xf numFmtId="10" fontId="19" fillId="0" borderId="7" xfId="0" applyNumberFormat="1" applyFont="1" applyBorder="1" applyProtection="1"/>
    <xf numFmtId="0" fontId="19" fillId="0" borderId="0" xfId="0" applyFont="1" applyProtection="1"/>
    <xf numFmtId="0" fontId="0" fillId="0" borderId="0" xfId="0" applyProtection="1"/>
    <xf numFmtId="0" fontId="19" fillId="0" borderId="0" xfId="0" applyFont="1" applyAlignment="1" applyProtection="1">
      <alignment horizontal="right"/>
    </xf>
    <xf numFmtId="2" fontId="40" fillId="3" borderId="4" xfId="6" applyNumberFormat="1" applyFont="1" applyAlignment="1" applyProtection="1">
      <alignment horizontal="center"/>
    </xf>
    <xf numFmtId="0" fontId="19" fillId="0" borderId="0" xfId="0" applyFont="1" applyAlignment="1" applyProtection="1">
      <alignment horizontal="right" vertical="center"/>
    </xf>
    <xf numFmtId="10" fontId="41" fillId="3" borderId="4" xfId="8" applyNumberFormat="1" applyFont="1" applyFill="1" applyBorder="1" applyAlignment="1" applyProtection="1">
      <alignment horizontal="center" vertical="center"/>
    </xf>
    <xf numFmtId="0" fontId="19" fillId="0" borderId="0" xfId="0" applyFont="1" applyBorder="1" applyAlignment="1" applyProtection="1">
      <alignment horizontal="right" vertical="center"/>
    </xf>
    <xf numFmtId="0" fontId="36" fillId="0" borderId="2" xfId="2" applyFont="1" applyProtection="1"/>
    <xf numFmtId="0" fontId="22" fillId="0" borderId="2" xfId="2" applyFont="1" applyProtection="1"/>
    <xf numFmtId="0" fontId="25" fillId="0" borderId="2" xfId="2" applyFont="1" applyProtection="1"/>
    <xf numFmtId="0" fontId="2" fillId="0" borderId="2" xfId="2" applyProtection="1"/>
    <xf numFmtId="0" fontId="18" fillId="0" borderId="0" xfId="0" applyFont="1" applyProtection="1"/>
    <xf numFmtId="0" fontId="35" fillId="0" borderId="0" xfId="0" applyFont="1" applyProtection="1"/>
    <xf numFmtId="0" fontId="29" fillId="0" borderId="0" xfId="0" applyFont="1" applyProtection="1"/>
    <xf numFmtId="0" fontId="27" fillId="0" borderId="2" xfId="2" applyFont="1" applyProtection="1"/>
    <xf numFmtId="0" fontId="19" fillId="0" borderId="0" xfId="0" applyFont="1" applyAlignment="1" applyProtection="1">
      <alignment horizontal="center" vertical="center" wrapText="1"/>
    </xf>
    <xf numFmtId="2" fontId="26" fillId="3" borderId="4" xfId="6" applyNumberFormat="1" applyFont="1" applyAlignment="1" applyProtection="1">
      <alignment horizontal="center"/>
    </xf>
    <xf numFmtId="0" fontId="17" fillId="0" borderId="1" xfId="1" applyFont="1" applyAlignment="1" applyProtection="1">
      <alignment horizontal="center"/>
    </xf>
    <xf numFmtId="0" fontId="20" fillId="2" borderId="4" xfId="4" applyFont="1" applyAlignment="1" applyProtection="1">
      <alignment horizontal="center"/>
    </xf>
    <xf numFmtId="0" fontId="21" fillId="3" borderId="4" xfId="6" applyFont="1" applyAlignment="1" applyProtection="1">
      <alignment horizontal="center"/>
    </xf>
    <xf numFmtId="0" fontId="23" fillId="5" borderId="0" xfId="0" applyFont="1" applyFill="1" applyAlignment="1" applyProtection="1">
      <alignment horizontal="center"/>
    </xf>
    <xf numFmtId="0" fontId="9" fillId="0" borderId="0" xfId="0" applyFont="1" applyAlignment="1" applyProtection="1">
      <alignment vertical="center"/>
    </xf>
    <xf numFmtId="0" fontId="4" fillId="2" borderId="4" xfId="4" applyAlignment="1" applyProtection="1">
      <alignment horizontal="center"/>
      <protection locked="0"/>
    </xf>
    <xf numFmtId="0" fontId="0" fillId="0" borderId="0" xfId="0"/>
    <xf numFmtId="0" fontId="18" fillId="0" borderId="0" xfId="0" applyFont="1" applyAlignment="1">
      <alignment horizontal="left" wrapText="1"/>
    </xf>
    <xf numFmtId="0" fontId="35" fillId="0" borderId="0" xfId="0" applyFont="1" applyAlignment="1">
      <alignment wrapText="1"/>
    </xf>
    <xf numFmtId="0" fontId="19" fillId="0" borderId="0" xfId="0" applyFont="1" applyBorder="1" applyAlignment="1">
      <alignment vertical="top" wrapText="1"/>
    </xf>
    <xf numFmtId="0" fontId="3" fillId="0" borderId="3" xfId="3" applyFont="1"/>
    <xf numFmtId="0" fontId="0" fillId="0" borderId="0" xfId="0"/>
    <xf numFmtId="0" fontId="19" fillId="0" borderId="0" xfId="0" applyFont="1" applyBorder="1" applyAlignment="1">
      <alignment horizontal="right" vertical="center" wrapText="1"/>
    </xf>
    <xf numFmtId="0" fontId="19" fillId="0" borderId="0" xfId="0" applyFont="1" applyBorder="1" applyAlignment="1">
      <alignment horizontal="center" vertical="center" wrapText="1"/>
    </xf>
    <xf numFmtId="9" fontId="24" fillId="2" borderId="4" xfId="8" applyFont="1" applyFill="1" applyBorder="1" applyAlignment="1"/>
    <xf numFmtId="0" fontId="18" fillId="0" borderId="0" xfId="0" applyFont="1" applyAlignment="1">
      <alignment horizontal="center" vertical="center" wrapText="1"/>
    </xf>
    <xf numFmtId="9" fontId="26" fillId="3" borderId="4" xfId="8" applyFont="1" applyFill="1" applyBorder="1" applyAlignment="1">
      <alignment horizontal="center"/>
    </xf>
    <xf numFmtId="0" fontId="45" fillId="0" borderId="0" xfId="0" applyFont="1"/>
    <xf numFmtId="0" fontId="0" fillId="0" borderId="0" xfId="0"/>
    <xf numFmtId="0" fontId="24" fillId="2" borderId="4" xfId="4" applyFont="1" applyAlignment="1" applyProtection="1">
      <alignment horizontal="center" vertical="center"/>
      <protection locked="0"/>
    </xf>
    <xf numFmtId="2" fontId="24" fillId="2" borderId="4" xfId="4" applyNumberFormat="1" applyFont="1" applyAlignment="1" applyProtection="1">
      <alignment horizontal="center"/>
      <protection locked="0"/>
    </xf>
    <xf numFmtId="2" fontId="26" fillId="3" borderId="4" xfId="6" applyNumberFormat="1" applyFont="1" applyAlignment="1" applyProtection="1">
      <alignment horizontal="center"/>
    </xf>
    <xf numFmtId="0" fontId="19" fillId="0" borderId="0" xfId="0" applyFont="1" applyAlignment="1" applyProtection="1">
      <alignment horizontal="center" vertical="center" wrapText="1"/>
      <protection locked="0"/>
    </xf>
    <xf numFmtId="0" fontId="0" fillId="0" borderId="0" xfId="0"/>
    <xf numFmtId="2" fontId="6" fillId="3" borderId="4" xfId="6" applyNumberFormat="1" applyAlignment="1" applyProtection="1">
      <alignment horizontal="center"/>
    </xf>
    <xf numFmtId="0" fontId="0" fillId="0" borderId="0" xfId="0" applyAlignment="1" applyProtection="1">
      <alignment wrapText="1"/>
      <protection locked="0"/>
    </xf>
    <xf numFmtId="166" fontId="24" fillId="2" borderId="4" xfId="4" applyNumberFormat="1" applyFont="1" applyAlignment="1" applyProtection="1">
      <alignment horizontal="center" vertical="center" wrapText="1"/>
      <protection locked="0"/>
    </xf>
    <xf numFmtId="0" fontId="19" fillId="0" borderId="33" xfId="0" applyFont="1" applyBorder="1" applyAlignment="1" applyProtection="1">
      <alignment horizontal="center" vertical="center" wrapText="1"/>
      <protection locked="0"/>
    </xf>
    <xf numFmtId="2" fontId="24" fillId="2" borderId="9" xfId="4" applyNumberFormat="1" applyFont="1" applyBorder="1" applyAlignment="1" applyProtection="1">
      <alignment horizontal="center"/>
      <protection locked="0"/>
    </xf>
    <xf numFmtId="2" fontId="26" fillId="3" borderId="9" xfId="6" applyNumberFormat="1" applyFont="1" applyBorder="1" applyAlignment="1" applyProtection="1">
      <alignment horizontal="center"/>
    </xf>
    <xf numFmtId="0" fontId="19" fillId="13" borderId="0" xfId="0" applyFont="1" applyFill="1" applyAlignment="1" applyProtection="1">
      <alignment horizontal="center" vertical="center" wrapText="1"/>
      <protection locked="0"/>
    </xf>
    <xf numFmtId="0" fontId="19" fillId="13" borderId="0" xfId="0" applyFont="1" applyFill="1" applyBorder="1" applyAlignment="1" applyProtection="1">
      <alignment horizontal="center" vertical="center" wrapText="1"/>
      <protection locked="0"/>
    </xf>
    <xf numFmtId="0" fontId="0" fillId="0" borderId="0" xfId="0"/>
    <xf numFmtId="0" fontId="24" fillId="2" borderId="8" xfId="4" applyFont="1" applyBorder="1" applyAlignment="1" applyProtection="1">
      <alignment horizontal="center" vertical="center"/>
      <protection locked="0"/>
    </xf>
    <xf numFmtId="0" fontId="24" fillId="2" borderId="4" xfId="4" applyFont="1" applyAlignment="1" applyProtection="1">
      <alignment horizontal="center" vertical="center"/>
      <protection locked="0"/>
    </xf>
    <xf numFmtId="0" fontId="0" fillId="0" borderId="0" xfId="0"/>
    <xf numFmtId="0" fontId="19" fillId="0" borderId="0" xfId="0" applyFont="1" applyAlignment="1" applyProtection="1">
      <alignment horizontal="left" wrapText="1"/>
      <protection locked="0"/>
    </xf>
    <xf numFmtId="0" fontId="19" fillId="0" borderId="0" xfId="0" applyFont="1" applyAlignment="1">
      <alignment horizontal="left" wrapText="1"/>
    </xf>
    <xf numFmtId="0" fontId="15" fillId="0" borderId="1" xfId="1" applyFont="1" applyAlignment="1">
      <alignment horizontal="center"/>
    </xf>
    <xf numFmtId="0" fontId="0" fillId="0" borderId="0" xfId="0"/>
    <xf numFmtId="0" fontId="19" fillId="0" borderId="6" xfId="0" applyFont="1" applyBorder="1" applyAlignment="1">
      <alignment horizontal="left"/>
    </xf>
    <xf numFmtId="0" fontId="22" fillId="0" borderId="2" xfId="2" applyFont="1" applyAlignment="1">
      <alignment horizontal="left" wrapText="1"/>
    </xf>
    <xf numFmtId="0" fontId="26" fillId="3" borderId="4" xfId="6" applyFont="1" applyAlignment="1">
      <alignment horizontal="center"/>
    </xf>
    <xf numFmtId="0" fontId="42" fillId="5" borderId="0" xfId="0" applyFont="1" applyFill="1" applyAlignment="1">
      <alignment horizontal="center"/>
    </xf>
    <xf numFmtId="0" fontId="19" fillId="0" borderId="0" xfId="0" applyFont="1" applyAlignment="1">
      <alignment horizontal="left"/>
    </xf>
    <xf numFmtId="0" fontId="24" fillId="2" borderId="4" xfId="4" applyFont="1" applyAlignment="1">
      <alignment horizontal="center"/>
    </xf>
    <xf numFmtId="0" fontId="18" fillId="0" borderId="6" xfId="0" applyFont="1" applyBorder="1" applyAlignment="1">
      <alignment horizontal="left" vertical="top" wrapText="1"/>
    </xf>
    <xf numFmtId="0" fontId="18" fillId="0" borderId="0" xfId="0" applyFont="1" applyAlignment="1">
      <alignment horizontal="left" vertical="top" wrapText="1"/>
    </xf>
    <xf numFmtId="0" fontId="19" fillId="0" borderId="23" xfId="0" applyFont="1" applyBorder="1" applyAlignment="1">
      <alignment horizontal="left" vertical="center" wrapText="1"/>
    </xf>
    <xf numFmtId="0" fontId="19" fillId="0" borderId="0" xfId="0" applyFont="1" applyBorder="1" applyAlignment="1">
      <alignment horizontal="left" vertical="center" wrapText="1"/>
    </xf>
    <xf numFmtId="0" fontId="19" fillId="0" borderId="0" xfId="0" applyFont="1" applyAlignment="1">
      <alignment horizontal="left" vertical="center" wrapText="1"/>
    </xf>
    <xf numFmtId="0" fontId="43" fillId="0" borderId="0" xfId="0" applyFont="1" applyAlignment="1">
      <alignment horizontal="left" wrapText="1"/>
    </xf>
    <xf numFmtId="0" fontId="34" fillId="0" borderId="0" xfId="0" applyFont="1" applyAlignment="1">
      <alignment horizontal="left" vertical="center" wrapText="1"/>
    </xf>
    <xf numFmtId="0" fontId="18" fillId="0" borderId="0" xfId="0" applyFont="1" applyBorder="1" applyAlignment="1">
      <alignment horizontal="left" vertical="top" wrapText="1"/>
    </xf>
    <xf numFmtId="0" fontId="34" fillId="0" borderId="0" xfId="0" applyFont="1" applyAlignment="1">
      <alignment horizontal="left" vertical="top" wrapText="1"/>
    </xf>
    <xf numFmtId="0" fontId="19" fillId="0" borderId="6" xfId="0" applyFont="1" applyBorder="1" applyAlignment="1">
      <alignment horizontal="left" vertical="top" wrapText="1"/>
    </xf>
    <xf numFmtId="0" fontId="19" fillId="0" borderId="0" xfId="0" applyFont="1" applyBorder="1" applyAlignment="1">
      <alignment horizontal="left" vertical="top" wrapText="1"/>
    </xf>
    <xf numFmtId="0" fontId="49" fillId="11" borderId="7" xfId="12" applyBorder="1" applyAlignment="1">
      <alignment horizontal="left"/>
    </xf>
    <xf numFmtId="0" fontId="49" fillId="11" borderId="26" xfId="12" applyBorder="1" applyAlignment="1">
      <alignment horizontal="left"/>
    </xf>
    <xf numFmtId="0" fontId="49" fillId="11" borderId="32" xfId="12" applyBorder="1" applyAlignment="1">
      <alignment horizontal="left"/>
    </xf>
    <xf numFmtId="0" fontId="49" fillId="11" borderId="27" xfId="12" applyBorder="1" applyAlignment="1">
      <alignment horizontal="left"/>
    </xf>
    <xf numFmtId="0" fontId="19" fillId="12" borderId="7" xfId="0" applyFont="1" applyFill="1" applyBorder="1" applyAlignment="1">
      <alignment horizontal="left" vertical="center" wrapText="1"/>
    </xf>
    <xf numFmtId="0" fontId="19" fillId="0" borderId="7" xfId="0" applyFont="1" applyBorder="1" applyAlignment="1">
      <alignment horizontal="left" vertical="center" wrapText="1"/>
    </xf>
    <xf numFmtId="0" fontId="19" fillId="0" borderId="7" xfId="0" applyFont="1" applyBorder="1" applyAlignment="1">
      <alignment horizontal="center" vertical="center" wrapText="1"/>
    </xf>
    <xf numFmtId="0" fontId="19" fillId="12" borderId="7" xfId="0" applyFont="1" applyFill="1" applyBorder="1" applyAlignment="1">
      <alignment horizontal="center" vertical="center" wrapText="1"/>
    </xf>
    <xf numFmtId="0" fontId="19" fillId="12" borderId="7" xfId="0" applyFont="1" applyFill="1" applyBorder="1" applyAlignment="1">
      <alignment horizontal="center" vertical="center"/>
    </xf>
    <xf numFmtId="0" fontId="19" fillId="0" borderId="7" xfId="0" applyFont="1" applyBorder="1" applyAlignment="1">
      <alignment horizontal="center" vertical="center"/>
    </xf>
    <xf numFmtId="0" fontId="19" fillId="0" borderId="0" xfId="0" applyFont="1" applyBorder="1" applyAlignment="1">
      <alignment horizontal="right" vertical="center" wrapText="1"/>
    </xf>
    <xf numFmtId="0" fontId="28" fillId="0" borderId="22" xfId="0" applyFont="1" applyBorder="1" applyAlignment="1">
      <alignment horizontal="center" vertical="center" wrapText="1"/>
    </xf>
    <xf numFmtId="0" fontId="24" fillId="2" borderId="8" xfId="4" applyFont="1" applyBorder="1" applyAlignment="1">
      <alignment horizontal="center"/>
    </xf>
    <xf numFmtId="0" fontId="24" fillId="2" borderId="9" xfId="4" applyFont="1" applyBorder="1" applyAlignment="1">
      <alignment horizontal="center"/>
    </xf>
    <xf numFmtId="0" fontId="16" fillId="0" borderId="1" xfId="1" applyFont="1" applyAlignment="1">
      <alignment horizontal="left" vertical="center"/>
    </xf>
    <xf numFmtId="0" fontId="19" fillId="0" borderId="14"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21" xfId="0" applyFont="1" applyBorder="1" applyAlignment="1">
      <alignment horizontal="center" vertical="center" wrapText="1"/>
    </xf>
    <xf numFmtId="0" fontId="19" fillId="8" borderId="0" xfId="0" applyFont="1" applyFill="1" applyBorder="1" applyAlignment="1">
      <alignment horizontal="center" vertical="center" wrapText="1"/>
    </xf>
    <xf numFmtId="0" fontId="33" fillId="8" borderId="0" xfId="0" applyFont="1" applyFill="1" applyBorder="1" applyAlignment="1">
      <alignment horizontal="center" vertical="center" wrapText="1"/>
    </xf>
    <xf numFmtId="10" fontId="41" fillId="3" borderId="4" xfId="11" applyNumberFormat="1" applyFont="1" applyAlignment="1" applyProtection="1">
      <alignment horizontal="center" vertical="center"/>
    </xf>
    <xf numFmtId="10" fontId="30" fillId="3" borderId="7" xfId="8" applyNumberFormat="1" applyFont="1" applyFill="1" applyBorder="1" applyAlignment="1" applyProtection="1">
      <alignment horizontal="center" vertical="center"/>
    </xf>
    <xf numFmtId="0" fontId="9" fillId="0" borderId="28" xfId="0" applyFont="1" applyBorder="1" applyAlignment="1" applyProtection="1">
      <alignment horizontal="center" vertical="center" wrapText="1"/>
    </xf>
    <xf numFmtId="0" fontId="9" fillId="0" borderId="30" xfId="0" applyFont="1" applyBorder="1" applyAlignment="1" applyProtection="1">
      <alignment horizontal="center" vertical="center" wrapText="1"/>
    </xf>
    <xf numFmtId="164" fontId="48" fillId="3" borderId="29" xfId="11" applyNumberFormat="1" applyFont="1" applyBorder="1" applyAlignment="1" applyProtection="1">
      <alignment horizontal="center" vertical="center"/>
    </xf>
    <xf numFmtId="164" fontId="48" fillId="3" borderId="31" xfId="11" applyNumberFormat="1" applyFont="1" applyBorder="1" applyAlignment="1" applyProtection="1">
      <alignment horizontal="center" vertical="center"/>
    </xf>
    <xf numFmtId="10" fontId="30" fillId="3" borderId="26" xfId="8" applyNumberFormat="1" applyFont="1" applyFill="1" applyBorder="1" applyAlignment="1" applyProtection="1">
      <alignment horizontal="center" vertical="center"/>
    </xf>
    <xf numFmtId="10" fontId="30" fillId="3" borderId="27" xfId="8" applyNumberFormat="1" applyFont="1" applyFill="1" applyBorder="1" applyAlignment="1" applyProtection="1">
      <alignment horizontal="center" vertical="center"/>
    </xf>
    <xf numFmtId="0" fontId="19" fillId="0" borderId="12" xfId="0" applyFont="1" applyBorder="1" applyAlignment="1" applyProtection="1">
      <alignment horizontal="center" vertical="center" wrapText="1"/>
      <protection locked="0"/>
    </xf>
    <xf numFmtId="0" fontId="19" fillId="0" borderId="13" xfId="0" applyFont="1" applyBorder="1" applyAlignment="1" applyProtection="1">
      <alignment horizontal="center" vertical="center"/>
      <protection locked="0"/>
    </xf>
    <xf numFmtId="166" fontId="24" fillId="2" borderId="25" xfId="4" applyNumberFormat="1" applyFont="1" applyBorder="1" applyAlignment="1" applyProtection="1">
      <alignment horizontal="center" vertical="center"/>
      <protection locked="0"/>
    </xf>
    <xf numFmtId="166" fontId="24" fillId="2" borderId="9" xfId="4" applyNumberFormat="1" applyFont="1" applyBorder="1" applyAlignment="1" applyProtection="1">
      <alignment horizontal="center" vertical="center"/>
      <protection locked="0"/>
    </xf>
    <xf numFmtId="0" fontId="31" fillId="7" borderId="7" xfId="0" applyFont="1" applyFill="1" applyBorder="1" applyAlignment="1" applyProtection="1">
      <alignment horizontal="center" vertical="center" wrapText="1"/>
    </xf>
    <xf numFmtId="0" fontId="31" fillId="7" borderId="26" xfId="0" applyFont="1" applyFill="1" applyBorder="1" applyAlignment="1" applyProtection="1">
      <alignment horizontal="center" vertical="center" wrapText="1"/>
    </xf>
    <xf numFmtId="0" fontId="31" fillId="7" borderId="27" xfId="0" applyFont="1" applyFill="1" applyBorder="1" applyAlignment="1" applyProtection="1">
      <alignment horizontal="center" vertical="center" wrapText="1"/>
    </xf>
    <xf numFmtId="0" fontId="24" fillId="2" borderId="8" xfId="4" applyFont="1" applyBorder="1" applyAlignment="1" applyProtection="1">
      <alignment horizontal="center" vertical="center"/>
      <protection locked="0"/>
    </xf>
    <xf numFmtId="0" fontId="24" fillId="2" borderId="9" xfId="4" applyFont="1" applyBorder="1" applyAlignment="1" applyProtection="1">
      <alignment horizontal="center" vertical="center"/>
      <protection locked="0"/>
    </xf>
    <xf numFmtId="0" fontId="19" fillId="0" borderId="24" xfId="0" applyFont="1" applyBorder="1" applyAlignment="1" applyProtection="1">
      <alignment horizontal="center" vertical="center" wrapText="1"/>
      <protection locked="0"/>
    </xf>
    <xf numFmtId="0" fontId="24" fillId="2" borderId="4" xfId="4" applyFont="1" applyAlignment="1" applyProtection="1">
      <alignment horizontal="center" vertical="center"/>
      <protection locked="0"/>
    </xf>
    <xf numFmtId="0" fontId="27" fillId="0" borderId="3" xfId="3" applyFont="1" applyAlignment="1" applyProtection="1">
      <alignment horizontal="center" vertical="center" wrapText="1"/>
      <protection locked="0"/>
    </xf>
    <xf numFmtId="0" fontId="19" fillId="0" borderId="0" xfId="0" applyFont="1" applyAlignment="1" applyProtection="1">
      <alignment horizontal="center" vertical="center" wrapText="1"/>
    </xf>
    <xf numFmtId="2" fontId="26" fillId="3" borderId="4" xfId="6" applyNumberFormat="1" applyFont="1" applyAlignment="1" applyProtection="1">
      <alignment horizontal="center"/>
    </xf>
    <xf numFmtId="0" fontId="19" fillId="0" borderId="11" xfId="0" applyFont="1" applyBorder="1" applyAlignment="1" applyProtection="1">
      <alignment horizontal="center" vertical="center" wrapText="1"/>
      <protection locked="0"/>
    </xf>
    <xf numFmtId="0" fontId="19" fillId="0" borderId="0" xfId="0" applyFont="1" applyAlignment="1" applyProtection="1">
      <alignment horizontal="left" wrapText="1"/>
      <protection locked="0"/>
    </xf>
    <xf numFmtId="0" fontId="19" fillId="0" borderId="6" xfId="0" applyFont="1" applyBorder="1" applyAlignment="1" applyProtection="1">
      <alignment horizontal="left" wrapText="1"/>
      <protection locked="0"/>
    </xf>
    <xf numFmtId="0" fontId="27" fillId="0" borderId="3" xfId="3" applyFont="1" applyAlignment="1" applyProtection="1">
      <alignment horizontal="center" vertical="center"/>
      <protection locked="0"/>
    </xf>
    <xf numFmtId="0" fontId="50" fillId="0" borderId="2" xfId="10" applyFont="1" applyAlignment="1">
      <alignment horizontal="left" vertical="center" wrapText="1"/>
    </xf>
    <xf numFmtId="0" fontId="35" fillId="0" borderId="0" xfId="0" applyFont="1" applyAlignment="1">
      <alignment horizontal="left" wrapText="1"/>
    </xf>
    <xf numFmtId="2" fontId="6" fillId="3" borderId="4" xfId="6" applyNumberFormat="1" applyAlignment="1" applyProtection="1">
      <alignment horizontal="center"/>
    </xf>
    <xf numFmtId="0" fontId="4" fillId="2" borderId="4" xfId="4" applyAlignment="1">
      <alignment horizontal="center"/>
    </xf>
    <xf numFmtId="0" fontId="19" fillId="0" borderId="6" xfId="0" applyFont="1" applyBorder="1" applyAlignment="1" applyProtection="1">
      <alignment horizontal="center" vertical="center" wrapText="1"/>
      <protection locked="0"/>
    </xf>
    <xf numFmtId="0" fontId="18" fillId="0" borderId="23" xfId="0" applyFont="1" applyBorder="1" applyAlignment="1">
      <alignment horizontal="left" wrapText="1"/>
    </xf>
    <xf numFmtId="0" fontId="18" fillId="0" borderId="0" xfId="0" applyFont="1" applyAlignment="1">
      <alignment horizontal="left" wrapText="1"/>
    </xf>
    <xf numFmtId="0" fontId="18" fillId="0" borderId="6" xfId="0" applyFont="1" applyBorder="1" applyAlignment="1">
      <alignment horizontal="left" wrapText="1"/>
    </xf>
    <xf numFmtId="0" fontId="18" fillId="0" borderId="23" xfId="0" applyFont="1" applyBorder="1" applyAlignment="1">
      <alignment horizontal="left" vertical="center" wrapText="1"/>
    </xf>
    <xf numFmtId="0" fontId="18" fillId="0" borderId="0" xfId="0" applyFont="1" applyBorder="1" applyAlignment="1">
      <alignment horizontal="left" vertical="center" wrapText="1"/>
    </xf>
    <xf numFmtId="0" fontId="9" fillId="0" borderId="0" xfId="0" applyFont="1" applyAlignment="1">
      <alignment horizontal="center" wrapText="1"/>
    </xf>
    <xf numFmtId="0" fontId="0" fillId="0" borderId="0" xfId="0" applyAlignment="1">
      <alignment horizontal="center"/>
    </xf>
    <xf numFmtId="0" fontId="12" fillId="6" borderId="0" xfId="0" applyFont="1" applyFill="1" applyAlignment="1">
      <alignment horizontal="center"/>
    </xf>
    <xf numFmtId="0" fontId="12" fillId="7" borderId="0" xfId="0" applyFont="1" applyFill="1" applyAlignment="1">
      <alignment horizontal="center"/>
    </xf>
  </cellXfs>
  <cellStyles count="13">
    <cellStyle name="Accent6" xfId="12" builtinId="49"/>
    <cellStyle name="Calculation" xfId="6" builtinId="22"/>
    <cellStyle name="Calculation 2" xfId="11"/>
    <cellStyle name="Heading 1" xfId="1" builtinId="16"/>
    <cellStyle name="Heading 2" xfId="2" builtinId="17"/>
    <cellStyle name="Heading 2 2" xfId="10"/>
    <cellStyle name="Heading 3" xfId="3" builtinId="18"/>
    <cellStyle name="Hyperlink" xfId="9" builtinId="8"/>
    <cellStyle name="Input" xfId="4" builtinId="20"/>
    <cellStyle name="Normal" xfId="0" builtinId="0"/>
    <cellStyle name="Output" xfId="5" builtinId="21"/>
    <cellStyle name="Percent" xfId="8" builtinId="5"/>
    <cellStyle name="Variable Ref" xfId="7"/>
  </cellStyles>
  <dxfs count="68">
    <dxf>
      <font>
        <color rgb="FF006100"/>
      </font>
      <fill>
        <patternFill>
          <bgColor rgb="FFC6EFCE"/>
        </patternFill>
      </fill>
    </dxf>
    <dxf>
      <font>
        <color rgb="FF9C0006"/>
      </font>
      <fill>
        <patternFill>
          <bgColor rgb="FFFFC7CE"/>
        </patternFill>
      </fill>
    </dxf>
    <dxf>
      <font>
        <color rgb="FFFF0000"/>
      </font>
    </dxf>
    <dxf>
      <font>
        <color rgb="FFFF0000"/>
      </font>
    </dxf>
    <dxf>
      <font>
        <color rgb="FFFF0000"/>
      </font>
    </dxf>
    <dxf>
      <font>
        <color rgb="FFFF0000"/>
      </font>
    </dxf>
    <dxf>
      <font>
        <color theme="0" tint="-0.24994659260841701"/>
      </font>
      <fill>
        <patternFill>
          <bgColor theme="0" tint="-0.499984740745262"/>
        </patternFill>
      </fill>
      <border>
        <left style="thin">
          <color theme="1" tint="0.34998626667073579"/>
        </left>
        <right style="thin">
          <color theme="1" tint="0.34998626667073579"/>
        </right>
        <top style="thin">
          <color theme="1" tint="0.34998626667073579"/>
        </top>
        <bottom style="thin">
          <color theme="1" tint="0.34998626667073579"/>
        </bottom>
        <vertical/>
        <horizontal/>
      </border>
    </dxf>
    <dxf>
      <font>
        <b/>
        <i val="0"/>
        <color rgb="FFFF0000"/>
      </font>
    </dxf>
    <dxf>
      <font>
        <color theme="0" tint="-0.24994659260841701"/>
      </font>
      <fill>
        <patternFill>
          <bgColor theme="0" tint="-0.499984740745262"/>
        </patternFill>
      </fill>
      <border>
        <left style="thin">
          <color theme="1" tint="0.34998626667073579"/>
        </left>
        <right style="thin">
          <color theme="1" tint="0.34998626667073579"/>
        </right>
        <top style="thin">
          <color theme="1" tint="0.34998626667073579"/>
        </top>
        <bottom style="thin">
          <color theme="1" tint="0.34998626667073579"/>
        </bottom>
        <vertical/>
        <horizontal/>
      </border>
    </dxf>
    <dxf>
      <font>
        <color theme="0" tint="-0.24994659260841701"/>
      </font>
      <fill>
        <patternFill>
          <bgColor theme="0" tint="-0.499984740745262"/>
        </patternFill>
      </fill>
      <border>
        <left style="thin">
          <color theme="1" tint="0.34998626667073579"/>
        </left>
        <right style="thin">
          <color theme="1" tint="0.34998626667073579"/>
        </right>
        <top style="thin">
          <color theme="1" tint="0.34998626667073579"/>
        </top>
        <bottom style="thin">
          <color theme="1" tint="0.34998626667073579"/>
        </bottom>
        <vertical/>
        <horizontal/>
      </border>
    </dxf>
    <dxf>
      <font>
        <color theme="0" tint="-0.24994659260841701"/>
      </font>
      <fill>
        <patternFill>
          <bgColor theme="0" tint="-0.499984740745262"/>
        </patternFill>
      </fill>
      <border>
        <left style="thin">
          <color theme="1" tint="0.34998626667073579"/>
        </left>
        <right style="thin">
          <color theme="1" tint="0.34998626667073579"/>
        </right>
        <top style="thin">
          <color theme="1" tint="0.34998626667073579"/>
        </top>
        <bottom style="thin">
          <color theme="1" tint="0.34998626667073579"/>
        </bottom>
        <vertical/>
        <horizontal/>
      </border>
    </dxf>
    <dxf>
      <font>
        <color theme="0" tint="-0.24994659260841701"/>
      </font>
      <fill>
        <patternFill>
          <bgColor theme="0" tint="-0.499984740745262"/>
        </patternFill>
      </fill>
      <border>
        <left style="thin">
          <color theme="1" tint="0.34998626667073579"/>
        </left>
        <right style="thin">
          <color theme="1" tint="0.34998626667073579"/>
        </right>
        <top style="thin">
          <color theme="1" tint="0.34998626667073579"/>
        </top>
        <bottom style="thin">
          <color theme="1" tint="0.34998626667073579"/>
        </bottom>
        <vertical/>
        <horizontal/>
      </border>
    </dxf>
    <dxf>
      <font>
        <color theme="0" tint="-0.24994659260841701"/>
      </font>
      <fill>
        <patternFill>
          <bgColor theme="0" tint="-0.499984740745262"/>
        </patternFill>
      </fill>
      <border>
        <left style="thin">
          <color theme="1" tint="0.34998626667073579"/>
        </left>
        <right style="thin">
          <color theme="1" tint="0.34998626667073579"/>
        </right>
        <top style="thin">
          <color theme="1" tint="0.34998626667073579"/>
        </top>
        <bottom style="thin">
          <color theme="1" tint="0.34998626667073579"/>
        </bottom>
        <vertical/>
        <horizontal/>
      </border>
    </dxf>
    <dxf>
      <font>
        <color theme="0" tint="-0.24994659260841701"/>
      </font>
      <fill>
        <patternFill>
          <bgColor theme="0" tint="-0.499984740745262"/>
        </patternFill>
      </fill>
      <border>
        <left style="thin">
          <color theme="1" tint="0.34998626667073579"/>
        </left>
        <right style="thin">
          <color theme="1" tint="0.34998626667073579"/>
        </right>
        <top style="thin">
          <color theme="1" tint="0.34998626667073579"/>
        </top>
        <bottom style="thin">
          <color theme="1" tint="0.34998626667073579"/>
        </bottom>
        <vertical/>
        <horizontal/>
      </border>
    </dxf>
    <dxf>
      <font>
        <color theme="0" tint="-0.24994659260841701"/>
      </font>
      <fill>
        <patternFill>
          <bgColor theme="0" tint="-0.499984740745262"/>
        </patternFill>
      </fill>
      <border>
        <left style="thin">
          <color theme="1" tint="0.34998626667073579"/>
        </left>
        <right style="thin">
          <color theme="1" tint="0.34998626667073579"/>
        </right>
        <top style="thin">
          <color theme="1" tint="0.34998626667073579"/>
        </top>
        <bottom style="thin">
          <color theme="1" tint="0.34998626667073579"/>
        </bottom>
        <vertical/>
        <horizontal/>
      </border>
    </dxf>
    <dxf>
      <font>
        <color theme="0" tint="-0.24994659260841701"/>
      </font>
      <fill>
        <patternFill>
          <bgColor theme="0" tint="-0.499984740745262"/>
        </patternFill>
      </fill>
      <border>
        <left style="thin">
          <color theme="1" tint="0.34998626667073579"/>
        </left>
        <right style="thin">
          <color theme="1" tint="0.34998626667073579"/>
        </right>
        <top style="thin">
          <color theme="1" tint="0.34998626667073579"/>
        </top>
        <bottom style="thin">
          <color theme="1" tint="0.34998626667073579"/>
        </bottom>
        <vertical/>
        <horizontal/>
      </border>
    </dxf>
    <dxf>
      <font>
        <color theme="0" tint="-0.24994659260841701"/>
      </font>
      <fill>
        <patternFill>
          <bgColor theme="0" tint="-0.499984740745262"/>
        </patternFill>
      </fill>
      <border>
        <left style="thin">
          <color theme="1" tint="0.34998626667073579"/>
        </left>
        <right style="thin">
          <color theme="1" tint="0.34998626667073579"/>
        </right>
        <top style="thin">
          <color theme="1" tint="0.34998626667073579"/>
        </top>
        <bottom style="thin">
          <color theme="1" tint="0.34998626667073579"/>
        </bottom>
        <vertical/>
        <horizontal/>
      </border>
    </dxf>
    <dxf>
      <font>
        <b/>
        <i val="0"/>
        <color rgb="FFFF0000"/>
      </font>
    </dxf>
    <dxf>
      <font>
        <b/>
        <i val="0"/>
        <color rgb="FFFF0000"/>
      </font>
    </dxf>
    <dxf>
      <font>
        <b/>
        <i val="0"/>
        <color rgb="FFFF0000"/>
      </font>
      <fill>
        <patternFill patternType="none">
          <bgColor auto="1"/>
        </patternFill>
      </fill>
    </dxf>
    <dxf>
      <font>
        <color theme="0" tint="-0.24994659260841701"/>
      </font>
      <fill>
        <patternFill>
          <bgColor theme="0" tint="-0.499984740745262"/>
        </patternFill>
      </fill>
      <border>
        <left style="thin">
          <color theme="1" tint="0.34998626667073579"/>
        </left>
        <right style="thin">
          <color theme="1" tint="0.34998626667073579"/>
        </right>
        <top style="thin">
          <color theme="1" tint="0.34998626667073579"/>
        </top>
        <bottom style="thin">
          <color theme="1" tint="0.34998626667073579"/>
        </bottom>
        <vertical/>
        <horizontal/>
      </border>
    </dxf>
    <dxf>
      <font>
        <color theme="0" tint="-0.24994659260841701"/>
      </font>
      <fill>
        <patternFill>
          <bgColor theme="0" tint="-0.499984740745262"/>
        </patternFill>
      </fill>
      <border>
        <left style="thin">
          <color theme="1" tint="0.34998626667073579"/>
        </left>
        <right style="thin">
          <color theme="1" tint="0.34998626667073579"/>
        </right>
        <top style="thin">
          <color theme="1" tint="0.34998626667073579"/>
        </top>
        <bottom style="thin">
          <color theme="1" tint="0.34998626667073579"/>
        </bottom>
        <vertical/>
        <horizontal/>
      </border>
    </dxf>
    <dxf>
      <font>
        <color theme="0" tint="-0.24994659260841701"/>
      </font>
      <fill>
        <patternFill>
          <bgColor theme="0" tint="-0.499984740745262"/>
        </patternFill>
      </fill>
      <border>
        <left style="thin">
          <color theme="1" tint="0.34998626667073579"/>
        </left>
        <right style="thin">
          <color theme="1" tint="0.34998626667073579"/>
        </right>
        <top style="thin">
          <color theme="1" tint="0.34998626667073579"/>
        </top>
        <bottom style="thin">
          <color theme="1" tint="0.34998626667073579"/>
        </bottom>
        <vertical/>
        <horizontal/>
      </border>
    </dxf>
    <dxf>
      <font>
        <color theme="0" tint="-0.24994659260841701"/>
      </font>
      <fill>
        <patternFill>
          <bgColor theme="0" tint="-0.499984740745262"/>
        </patternFill>
      </fill>
      <border>
        <left style="thin">
          <color theme="1" tint="0.34998626667073579"/>
        </left>
        <right style="thin">
          <color theme="1" tint="0.34998626667073579"/>
        </right>
        <top style="thin">
          <color theme="1" tint="0.34998626667073579"/>
        </top>
        <bottom style="thin">
          <color theme="1" tint="0.34998626667073579"/>
        </bottom>
        <vertical/>
        <horizontal/>
      </border>
    </dxf>
    <dxf>
      <font>
        <color theme="0" tint="-0.24994659260841701"/>
      </font>
      <fill>
        <patternFill>
          <bgColor theme="0" tint="-0.499984740745262"/>
        </patternFill>
      </fill>
      <border>
        <left style="thin">
          <color theme="1" tint="0.34998626667073579"/>
        </left>
        <right style="thin">
          <color theme="1" tint="0.34998626667073579"/>
        </right>
        <top style="thin">
          <color theme="1" tint="0.34998626667073579"/>
        </top>
        <bottom style="thin">
          <color theme="1" tint="0.34998626667073579"/>
        </bottom>
        <vertical/>
        <horizontal/>
      </border>
    </dxf>
    <dxf>
      <font>
        <color theme="0" tint="-0.24994659260841701"/>
      </font>
      <fill>
        <patternFill>
          <bgColor theme="0" tint="-0.499984740745262"/>
        </patternFill>
      </fill>
      <border>
        <left style="thin">
          <color theme="1" tint="0.34998626667073579"/>
        </left>
        <right style="thin">
          <color theme="1" tint="0.34998626667073579"/>
        </right>
        <top style="thin">
          <color theme="1" tint="0.34998626667073579"/>
        </top>
        <bottom style="thin">
          <color theme="1" tint="0.34998626667073579"/>
        </bottom>
        <vertical/>
        <horizontal/>
      </border>
    </dxf>
    <dxf>
      <font>
        <color theme="0" tint="-0.24994659260841701"/>
      </font>
      <fill>
        <patternFill>
          <bgColor theme="0" tint="-0.499984740745262"/>
        </patternFill>
      </fill>
      <border>
        <left style="thin">
          <color theme="1" tint="0.34998626667073579"/>
        </left>
        <right style="thin">
          <color theme="1" tint="0.34998626667073579"/>
        </right>
        <top style="thin">
          <color theme="1" tint="0.34998626667073579"/>
        </top>
        <bottom style="thin">
          <color theme="1" tint="0.34998626667073579"/>
        </bottom>
        <vertical/>
        <horizontal/>
      </border>
    </dxf>
    <dxf>
      <font>
        <color theme="0" tint="-0.24994659260841701"/>
      </font>
      <fill>
        <patternFill>
          <bgColor theme="0" tint="-0.499984740745262"/>
        </patternFill>
      </fill>
      <border>
        <left style="thin">
          <color theme="1" tint="0.34998626667073579"/>
        </left>
        <right style="thin">
          <color theme="1" tint="0.34998626667073579"/>
        </right>
        <top style="thin">
          <color theme="1" tint="0.34998626667073579"/>
        </top>
        <bottom style="thin">
          <color theme="1" tint="0.34998626667073579"/>
        </bottom>
        <vertical/>
        <horizontal/>
      </border>
    </dxf>
    <dxf>
      <font>
        <color theme="0" tint="-0.24994659260841701"/>
      </font>
      <fill>
        <patternFill>
          <bgColor theme="0" tint="-0.499984740745262"/>
        </patternFill>
      </fill>
      <border>
        <left style="thin">
          <color theme="1" tint="0.34998626667073579"/>
        </left>
        <right style="thin">
          <color theme="1" tint="0.34998626667073579"/>
        </right>
        <top style="thin">
          <color theme="1" tint="0.34998626667073579"/>
        </top>
        <bottom style="thin">
          <color theme="1" tint="0.34998626667073579"/>
        </bottom>
        <vertical/>
        <horizontal/>
      </border>
    </dxf>
    <dxf>
      <font>
        <color theme="0" tint="-0.24994659260841701"/>
      </font>
      <fill>
        <patternFill>
          <bgColor theme="0" tint="-0.499984740745262"/>
        </patternFill>
      </fill>
      <border>
        <left style="thin">
          <color theme="1" tint="0.34998626667073579"/>
        </left>
        <right style="thin">
          <color theme="1" tint="0.34998626667073579"/>
        </right>
        <top style="thin">
          <color theme="1" tint="0.34998626667073579"/>
        </top>
        <bottom style="thin">
          <color theme="1" tint="0.34998626667073579"/>
        </bottom>
        <vertical/>
        <horizontal/>
      </border>
    </dxf>
    <dxf>
      <font>
        <color theme="0" tint="-0.24994659260841701"/>
      </font>
      <fill>
        <patternFill>
          <bgColor theme="0" tint="-0.499984740745262"/>
        </patternFill>
      </fill>
      <border>
        <left style="thin">
          <color theme="1" tint="0.34998626667073579"/>
        </left>
        <right style="thin">
          <color theme="1" tint="0.34998626667073579"/>
        </right>
        <top style="thin">
          <color theme="1" tint="0.34998626667073579"/>
        </top>
        <bottom style="thin">
          <color theme="1" tint="0.34998626667073579"/>
        </bottom>
        <vertical/>
        <horizontal/>
      </border>
    </dxf>
    <dxf>
      <font>
        <color theme="0" tint="-0.24994659260841701"/>
      </font>
      <fill>
        <patternFill>
          <bgColor theme="0" tint="-0.499984740745262"/>
        </patternFill>
      </fill>
      <border>
        <left style="thin">
          <color theme="1" tint="0.34998626667073579"/>
        </left>
        <right style="thin">
          <color theme="1" tint="0.34998626667073579"/>
        </right>
        <top style="thin">
          <color theme="1" tint="0.34998626667073579"/>
        </top>
        <bottom style="thin">
          <color theme="1" tint="0.34998626667073579"/>
        </bottom>
        <vertical/>
        <horizontal/>
      </border>
    </dxf>
    <dxf>
      <font>
        <color theme="0" tint="-0.24994659260841701"/>
      </font>
      <fill>
        <patternFill>
          <bgColor theme="0" tint="-0.499984740745262"/>
        </patternFill>
      </fill>
      <border>
        <left style="thin">
          <color theme="1" tint="0.34998626667073579"/>
        </left>
        <right style="thin">
          <color theme="1" tint="0.34998626667073579"/>
        </right>
        <top style="thin">
          <color theme="1" tint="0.34998626667073579"/>
        </top>
        <bottom style="thin">
          <color theme="1" tint="0.34998626667073579"/>
        </bottom>
        <vertical/>
        <horizontal/>
      </border>
    </dxf>
    <dxf>
      <font>
        <color theme="0" tint="-0.24994659260841701"/>
      </font>
      <fill>
        <patternFill>
          <bgColor theme="0" tint="-0.499984740745262"/>
        </patternFill>
      </fill>
      <border>
        <left style="thin">
          <color theme="1" tint="0.34998626667073579"/>
        </left>
        <right style="thin">
          <color theme="1" tint="0.34998626667073579"/>
        </right>
        <top style="thin">
          <color theme="1" tint="0.34998626667073579"/>
        </top>
        <bottom style="thin">
          <color theme="1" tint="0.34998626667073579"/>
        </bottom>
        <vertical/>
        <horizontal/>
      </border>
    </dxf>
    <dxf>
      <font>
        <color theme="0" tint="-0.24994659260841701"/>
      </font>
      <fill>
        <patternFill>
          <bgColor theme="0" tint="-0.499984740745262"/>
        </patternFill>
      </fill>
      <border>
        <left style="thin">
          <color theme="1" tint="0.34998626667073579"/>
        </left>
        <right style="thin">
          <color theme="1" tint="0.34998626667073579"/>
        </right>
        <top style="thin">
          <color theme="1" tint="0.34998626667073579"/>
        </top>
        <bottom style="thin">
          <color theme="1" tint="0.34998626667073579"/>
        </bottom>
        <vertical/>
        <horizontal/>
      </border>
    </dxf>
    <dxf>
      <font>
        <color theme="0" tint="-0.24994659260841701"/>
      </font>
      <fill>
        <patternFill>
          <bgColor theme="0" tint="-0.499984740745262"/>
        </patternFill>
      </fill>
      <border>
        <left style="thin">
          <color theme="1" tint="0.34998626667073579"/>
        </left>
        <right style="thin">
          <color theme="1" tint="0.34998626667073579"/>
        </right>
        <top style="thin">
          <color theme="1" tint="0.34998626667073579"/>
        </top>
        <bottom style="thin">
          <color theme="1" tint="0.34998626667073579"/>
        </bottom>
        <vertical/>
        <horizontal/>
      </border>
    </dxf>
    <dxf>
      <font>
        <color theme="0" tint="-0.24994659260841701"/>
      </font>
      <fill>
        <patternFill>
          <bgColor theme="0" tint="-0.499984740745262"/>
        </patternFill>
      </fill>
      <border>
        <left style="thin">
          <color theme="1" tint="0.34998626667073579"/>
        </left>
        <right style="thin">
          <color theme="1" tint="0.34998626667073579"/>
        </right>
        <top style="thin">
          <color theme="1" tint="0.34998626667073579"/>
        </top>
        <bottom style="thin">
          <color theme="1" tint="0.34998626667073579"/>
        </bottom>
        <vertical/>
        <horizontal/>
      </border>
    </dxf>
    <dxf>
      <font>
        <color theme="0" tint="-0.24994659260841701"/>
      </font>
      <fill>
        <patternFill>
          <bgColor theme="0" tint="-0.499984740745262"/>
        </patternFill>
      </fill>
      <border>
        <left style="thin">
          <color theme="1" tint="0.34998626667073579"/>
        </left>
        <right style="thin">
          <color theme="1" tint="0.34998626667073579"/>
        </right>
        <top style="thin">
          <color theme="1" tint="0.34998626667073579"/>
        </top>
        <bottom style="thin">
          <color theme="1" tint="0.34998626667073579"/>
        </bottom>
        <vertical/>
        <horizontal/>
      </border>
    </dxf>
    <dxf>
      <font>
        <color theme="0" tint="-0.24994659260841701"/>
      </font>
      <fill>
        <patternFill>
          <bgColor theme="0" tint="-0.499984740745262"/>
        </patternFill>
      </fill>
      <border>
        <left style="thin">
          <color theme="1" tint="0.34998626667073579"/>
        </left>
        <right style="thin">
          <color theme="1" tint="0.34998626667073579"/>
        </right>
        <top style="thin">
          <color theme="1" tint="0.34998626667073579"/>
        </top>
        <bottom style="thin">
          <color theme="1" tint="0.34998626667073579"/>
        </bottom>
        <vertical/>
        <horizontal/>
      </border>
    </dxf>
    <dxf>
      <font>
        <color theme="0" tint="-0.24994659260841701"/>
      </font>
      <fill>
        <patternFill>
          <bgColor theme="0" tint="-0.499984740745262"/>
        </patternFill>
      </fill>
      <border>
        <left style="thin">
          <color theme="1" tint="0.34998626667073579"/>
        </left>
        <right style="thin">
          <color theme="1" tint="0.34998626667073579"/>
        </right>
        <top style="thin">
          <color theme="1" tint="0.34998626667073579"/>
        </top>
        <bottom style="thin">
          <color theme="1" tint="0.34998626667073579"/>
        </bottom>
        <vertical/>
        <horizontal/>
      </border>
    </dxf>
    <dxf>
      <font>
        <color theme="0" tint="-0.24994659260841701"/>
      </font>
      <fill>
        <patternFill>
          <bgColor theme="0" tint="-0.499984740745262"/>
        </patternFill>
      </fill>
      <border>
        <left style="thin">
          <color theme="1" tint="0.34998626667073579"/>
        </left>
        <right style="thin">
          <color theme="1" tint="0.34998626667073579"/>
        </right>
        <top style="thin">
          <color theme="1" tint="0.34998626667073579"/>
        </top>
        <bottom style="thin">
          <color theme="1" tint="0.34998626667073579"/>
        </bottom>
        <vertical/>
        <horizontal/>
      </border>
    </dxf>
    <dxf>
      <font>
        <color theme="0" tint="-0.24994659260841701"/>
      </font>
      <fill>
        <patternFill>
          <bgColor theme="0" tint="-0.499984740745262"/>
        </patternFill>
      </fill>
      <border>
        <left style="thin">
          <color theme="1" tint="0.34998626667073579"/>
        </left>
        <right style="thin">
          <color theme="1" tint="0.34998626667073579"/>
        </right>
        <top style="thin">
          <color theme="1" tint="0.34998626667073579"/>
        </top>
        <bottom style="thin">
          <color theme="1" tint="0.34998626667073579"/>
        </bottom>
        <vertical/>
        <horizontal/>
      </border>
    </dxf>
    <dxf>
      <font>
        <color theme="0" tint="-0.24994659260841701"/>
      </font>
      <fill>
        <patternFill>
          <bgColor theme="0" tint="-0.499984740745262"/>
        </patternFill>
      </fill>
      <border>
        <left style="thin">
          <color theme="1" tint="0.34998626667073579"/>
        </left>
        <right style="thin">
          <color theme="1" tint="0.34998626667073579"/>
        </right>
        <top style="thin">
          <color theme="1" tint="0.34998626667073579"/>
        </top>
        <bottom style="thin">
          <color theme="1" tint="0.34998626667073579"/>
        </bottom>
        <vertical/>
        <horizontal/>
      </border>
    </dxf>
    <dxf>
      <font>
        <color theme="0" tint="-0.24994659260841701"/>
      </font>
      <fill>
        <patternFill>
          <bgColor theme="0" tint="-0.499984740745262"/>
        </patternFill>
      </fill>
      <border>
        <left style="thin">
          <color theme="1" tint="0.34998626667073579"/>
        </left>
        <right style="thin">
          <color theme="1" tint="0.34998626667073579"/>
        </right>
        <top style="thin">
          <color theme="1" tint="0.34998626667073579"/>
        </top>
        <bottom style="thin">
          <color theme="1" tint="0.34998626667073579"/>
        </bottom>
        <vertical/>
        <horizontal/>
      </border>
    </dxf>
    <dxf>
      <font>
        <color theme="0" tint="-0.24994659260841701"/>
      </font>
      <fill>
        <patternFill>
          <bgColor theme="0" tint="-0.499984740745262"/>
        </patternFill>
      </fill>
      <border>
        <left style="thin">
          <color theme="1" tint="0.34998626667073579"/>
        </left>
        <right style="thin">
          <color theme="1" tint="0.34998626667073579"/>
        </right>
        <top style="thin">
          <color theme="1" tint="0.34998626667073579"/>
        </top>
        <bottom style="thin">
          <color theme="1" tint="0.34998626667073579"/>
        </bottom>
        <vertical/>
        <horizontal/>
      </border>
    </dxf>
    <dxf>
      <font>
        <color theme="0" tint="-0.24994659260841701"/>
      </font>
      <fill>
        <patternFill>
          <bgColor theme="0" tint="-0.499984740745262"/>
        </patternFill>
      </fill>
      <border>
        <left style="thin">
          <color theme="1" tint="0.34998626667073579"/>
        </left>
        <right style="thin">
          <color theme="1" tint="0.34998626667073579"/>
        </right>
        <top style="thin">
          <color theme="1" tint="0.34998626667073579"/>
        </top>
        <bottom style="thin">
          <color theme="1" tint="0.34998626667073579"/>
        </bottom>
        <vertical/>
        <horizontal/>
      </border>
    </dxf>
    <dxf>
      <font>
        <color theme="0" tint="-0.24994659260841701"/>
      </font>
      <fill>
        <patternFill>
          <bgColor theme="0" tint="-0.499984740745262"/>
        </patternFill>
      </fill>
      <border>
        <left style="thin">
          <color theme="1" tint="0.34998626667073579"/>
        </left>
        <right style="thin">
          <color theme="1" tint="0.34998626667073579"/>
        </right>
        <top style="thin">
          <color theme="1" tint="0.34998626667073579"/>
        </top>
        <bottom style="thin">
          <color theme="1" tint="0.34998626667073579"/>
        </bottom>
        <vertical/>
        <horizontal/>
      </border>
    </dxf>
    <dxf>
      <font>
        <color theme="0" tint="-0.24994659260841701"/>
      </font>
      <fill>
        <patternFill>
          <bgColor theme="0" tint="-0.499984740745262"/>
        </patternFill>
      </fill>
      <border>
        <left style="thin">
          <color theme="1" tint="0.34998626667073579"/>
        </left>
        <right style="thin">
          <color theme="1" tint="0.34998626667073579"/>
        </right>
        <top style="thin">
          <color theme="1" tint="0.34998626667073579"/>
        </top>
        <bottom style="thin">
          <color theme="1" tint="0.34998626667073579"/>
        </bottom>
        <vertical/>
        <horizontal/>
      </border>
    </dxf>
    <dxf>
      <font>
        <color theme="0" tint="-0.24994659260841701"/>
      </font>
      <fill>
        <patternFill>
          <bgColor theme="0" tint="-0.499984740745262"/>
        </patternFill>
      </fill>
      <border>
        <left style="thin">
          <color theme="1" tint="0.34998626667073579"/>
        </left>
        <right style="thin">
          <color theme="1" tint="0.34998626667073579"/>
        </right>
        <top style="thin">
          <color theme="1" tint="0.34998626667073579"/>
        </top>
        <bottom style="thin">
          <color theme="1" tint="0.34998626667073579"/>
        </bottom>
        <vertical/>
        <horizontal/>
      </border>
    </dxf>
    <dxf>
      <font>
        <color theme="0" tint="-0.24994659260841701"/>
      </font>
      <fill>
        <patternFill>
          <bgColor theme="0" tint="-0.499984740745262"/>
        </patternFill>
      </fill>
      <border>
        <left style="thin">
          <color theme="1" tint="0.34998626667073579"/>
        </left>
        <right style="thin">
          <color theme="1" tint="0.34998626667073579"/>
        </right>
        <top style="thin">
          <color theme="1" tint="0.34998626667073579"/>
        </top>
        <bottom style="thin">
          <color theme="1" tint="0.34998626667073579"/>
        </bottom>
        <vertical/>
        <horizontal/>
      </border>
    </dxf>
    <dxf>
      <font>
        <color theme="0" tint="-0.24994659260841701"/>
      </font>
      <fill>
        <patternFill>
          <bgColor theme="0" tint="-0.499984740745262"/>
        </patternFill>
      </fill>
      <border>
        <left style="thin">
          <color theme="1" tint="0.34998626667073579"/>
        </left>
        <right style="thin">
          <color theme="1" tint="0.34998626667073579"/>
        </right>
        <top style="thin">
          <color theme="1" tint="0.34998626667073579"/>
        </top>
        <bottom style="thin">
          <color theme="1" tint="0.34998626667073579"/>
        </bottom>
        <vertical/>
        <horizontal/>
      </border>
    </dxf>
    <dxf>
      <font>
        <color theme="0" tint="-0.24994659260841701"/>
      </font>
      <fill>
        <patternFill>
          <bgColor theme="0" tint="-0.499984740745262"/>
        </patternFill>
      </fill>
      <border>
        <left style="thin">
          <color theme="1" tint="0.34998626667073579"/>
        </left>
        <right style="thin">
          <color theme="1" tint="0.34998626667073579"/>
        </right>
        <top style="thin">
          <color theme="1" tint="0.34998626667073579"/>
        </top>
        <bottom style="thin">
          <color theme="1" tint="0.34998626667073579"/>
        </bottom>
        <vertical/>
        <horizontal/>
      </border>
    </dxf>
    <dxf>
      <font>
        <color theme="0" tint="-0.24994659260841701"/>
      </font>
      <fill>
        <patternFill>
          <bgColor theme="0" tint="-0.499984740745262"/>
        </patternFill>
      </fill>
      <border>
        <left style="thin">
          <color theme="1" tint="0.34998626667073579"/>
        </left>
        <right style="thin">
          <color theme="1" tint="0.34998626667073579"/>
        </right>
        <top style="thin">
          <color theme="1" tint="0.34998626667073579"/>
        </top>
        <bottom style="thin">
          <color theme="1" tint="0.34998626667073579"/>
        </bottom>
        <vertical/>
        <horizontal/>
      </border>
    </dxf>
    <dxf>
      <font>
        <color theme="0" tint="-0.24994659260841701"/>
      </font>
      <fill>
        <patternFill>
          <bgColor theme="0" tint="-0.499984740745262"/>
        </patternFill>
      </fill>
      <border>
        <left style="thin">
          <color theme="1" tint="0.34998626667073579"/>
        </left>
        <right style="thin">
          <color theme="1" tint="0.34998626667073579"/>
        </right>
        <top style="thin">
          <color theme="1" tint="0.34998626667073579"/>
        </top>
        <bottom style="thin">
          <color theme="1" tint="0.34998626667073579"/>
        </bottom>
        <vertical/>
        <horizontal/>
      </border>
    </dxf>
    <dxf>
      <font>
        <color theme="0" tint="-0.24994659260841701"/>
      </font>
      <fill>
        <patternFill>
          <bgColor theme="0" tint="-0.499984740745262"/>
        </patternFill>
      </fill>
      <border>
        <left style="thin">
          <color theme="1" tint="0.34998626667073579"/>
        </left>
        <right style="thin">
          <color theme="1" tint="0.34998626667073579"/>
        </right>
        <top style="thin">
          <color theme="1" tint="0.34998626667073579"/>
        </top>
        <bottom style="thin">
          <color theme="1" tint="0.34998626667073579"/>
        </bottom>
        <vertical/>
        <horizontal/>
      </border>
    </dxf>
    <dxf>
      <font>
        <color theme="0" tint="-0.24994659260841701"/>
      </font>
      <fill>
        <patternFill>
          <bgColor theme="0" tint="-0.499984740745262"/>
        </patternFill>
      </fill>
      <border>
        <left style="thin">
          <color theme="1" tint="0.34998626667073579"/>
        </left>
        <right style="thin">
          <color theme="1" tint="0.34998626667073579"/>
        </right>
        <top style="thin">
          <color theme="1" tint="0.34998626667073579"/>
        </top>
        <bottom style="thin">
          <color theme="1" tint="0.34998626667073579"/>
        </bottom>
        <vertical/>
        <horizontal/>
      </border>
    </dxf>
    <dxf>
      <font>
        <color theme="0" tint="-0.24994659260841701"/>
      </font>
      <fill>
        <patternFill>
          <bgColor theme="0" tint="-0.499984740745262"/>
        </patternFill>
      </fill>
      <border>
        <left style="thin">
          <color theme="1" tint="0.34998626667073579"/>
        </left>
        <right style="thin">
          <color theme="1" tint="0.34998626667073579"/>
        </right>
        <top style="thin">
          <color theme="1" tint="0.34998626667073579"/>
        </top>
        <bottom style="thin">
          <color theme="1" tint="0.34998626667073579"/>
        </bottom>
        <vertical/>
        <horizontal/>
      </border>
    </dxf>
    <dxf>
      <font>
        <b/>
        <i val="0"/>
        <color rgb="FFFF0000"/>
      </font>
    </dxf>
    <dxf>
      <font>
        <color theme="0" tint="-0.24994659260841701"/>
      </font>
      <fill>
        <patternFill>
          <bgColor theme="0" tint="-0.499984740745262"/>
        </patternFill>
      </fill>
      <border>
        <left style="thin">
          <color theme="1" tint="0.34998626667073579"/>
        </left>
        <right style="thin">
          <color theme="1" tint="0.34998626667073579"/>
        </right>
        <top style="thin">
          <color theme="1" tint="0.34998626667073579"/>
        </top>
        <bottom style="thin">
          <color theme="1" tint="0.34998626667073579"/>
        </bottom>
        <vertical/>
        <horizontal/>
      </border>
    </dxf>
    <dxf>
      <font>
        <color theme="0" tint="-0.24994659260841701"/>
      </font>
      <fill>
        <patternFill>
          <bgColor theme="0" tint="-0.499984740745262"/>
        </patternFill>
      </fill>
      <border>
        <left style="thin">
          <color theme="1" tint="0.34998626667073579"/>
        </left>
        <right style="thin">
          <color theme="1" tint="0.34998626667073579"/>
        </right>
        <top style="thin">
          <color theme="1" tint="0.34998626667073579"/>
        </top>
        <bottom style="thin">
          <color theme="1" tint="0.34998626667073579"/>
        </bottom>
        <vertical/>
        <horizontal/>
      </border>
    </dxf>
    <dxf>
      <font>
        <b/>
        <i val="0"/>
        <color rgb="FFFF0000"/>
      </font>
    </dxf>
    <dxf>
      <font>
        <color theme="0" tint="-0.24994659260841701"/>
      </font>
      <fill>
        <patternFill>
          <bgColor theme="0" tint="-0.499984740745262"/>
        </patternFill>
      </fill>
      <border>
        <left style="thin">
          <color theme="1" tint="0.34998626667073579"/>
        </left>
        <right style="thin">
          <color theme="1" tint="0.34998626667073579"/>
        </right>
        <top style="thin">
          <color theme="1" tint="0.34998626667073579"/>
        </top>
        <bottom style="thin">
          <color theme="1" tint="0.34998626667073579"/>
        </bottom>
        <vertical/>
        <horizontal/>
      </border>
    </dxf>
    <dxf>
      <font>
        <b/>
        <i val="0"/>
        <color rgb="FFFF0000"/>
      </font>
    </dxf>
    <dxf>
      <font>
        <b/>
        <i val="0"/>
        <color rgb="FFFF0000"/>
      </font>
    </dxf>
    <dxf>
      <font>
        <b/>
        <i val="0"/>
        <color rgb="FFFF0000"/>
      </font>
      <fill>
        <patternFill patternType="none">
          <bgColor auto="1"/>
        </patternFill>
      </fill>
    </dxf>
    <dxf>
      <font>
        <color rgb="FFFF0000"/>
      </font>
    </dxf>
    <dxf>
      <font>
        <color rgb="FFFF0000"/>
      </font>
    </dxf>
    <dxf>
      <font>
        <color rgb="FFFF0000"/>
      </font>
    </dxf>
  </dxfs>
  <tableStyles count="0" defaultTableStyle="TableStyleMedium2" defaultPivotStyle="PivotStyleLight16"/>
  <colors>
    <mruColors>
      <color rgb="FF7F7F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ow to Calculate Practice Areas'!A1"/><Relationship Id="rId2" Type="http://schemas.openxmlformats.org/officeDocument/2006/relationships/hyperlink" Target="#'How to Determine Drainage Area '!A1"/><Relationship Id="rId1" Type="http://schemas.openxmlformats.org/officeDocument/2006/relationships/hyperlink" Target="#'Advanced Credit Calculator'!A1"/><Relationship Id="rId4" Type="http://schemas.openxmlformats.org/officeDocument/2006/relationships/hyperlink" Target="#'EWD Calculator'!A1"/></Relationships>
</file>

<file path=xl/drawings/_rels/drawing2.xml.rels><?xml version="1.0" encoding="UTF-8" standalone="yes"?>
<Relationships xmlns="http://schemas.openxmlformats.org/package/2006/relationships"><Relationship Id="rId1" Type="http://schemas.openxmlformats.org/officeDocument/2006/relationships/hyperlink" Target="https://detroitmi.gov/departments/water-and-sewerage-department/drainage-charge/drainage-guides-and-forms"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hyperlink" Target="https://detroitmi.gov/departments/water-and-sewerage-department/drainage-charge/drainage-guides-and-forms" TargetMode="External"/></Relationships>
</file>

<file path=xl/drawings/drawing1.xml><?xml version="1.0" encoding="utf-8"?>
<xdr:wsDr xmlns:xdr="http://schemas.openxmlformats.org/drawingml/2006/spreadsheetDrawing" xmlns:a="http://schemas.openxmlformats.org/drawingml/2006/main">
  <xdr:twoCellAnchor>
    <xdr:from>
      <xdr:col>1</xdr:col>
      <xdr:colOff>14966</xdr:colOff>
      <xdr:row>17</xdr:row>
      <xdr:rowOff>5443</xdr:rowOff>
    </xdr:from>
    <xdr:to>
      <xdr:col>3</xdr:col>
      <xdr:colOff>163286</xdr:colOff>
      <xdr:row>22</xdr:row>
      <xdr:rowOff>16329</xdr:rowOff>
    </xdr:to>
    <xdr:sp macro="" textlink="">
      <xdr:nvSpPr>
        <xdr:cNvPr id="11" name="TextBox 10">
          <a:hlinkClick xmlns:r="http://schemas.openxmlformats.org/officeDocument/2006/relationships" r:id="rId1"/>
          <a:extLst>
            <a:ext uri="{FF2B5EF4-FFF2-40B4-BE49-F238E27FC236}">
              <a16:creationId xmlns:a16="http://schemas.microsoft.com/office/drawing/2014/main" id="{00000000-0008-0000-0000-00000B000000}"/>
            </a:ext>
          </a:extLst>
        </xdr:cNvPr>
        <xdr:cNvSpPr txBox="1"/>
      </xdr:nvSpPr>
      <xdr:spPr>
        <a:xfrm>
          <a:off x="668109" y="2868386"/>
          <a:ext cx="1432834" cy="838200"/>
        </a:xfrm>
        <a:prstGeom prst="round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ctr"/>
        <a:lstStyle/>
        <a:p>
          <a:pPr algn="ctr"/>
          <a:r>
            <a:rPr lang="en-US" sz="1400" b="0"/>
            <a:t>Credit Calculator </a:t>
          </a:r>
        </a:p>
      </xdr:txBody>
    </xdr:sp>
    <xdr:clientData/>
  </xdr:twoCellAnchor>
  <xdr:twoCellAnchor>
    <xdr:from>
      <xdr:col>5</xdr:col>
      <xdr:colOff>21770</xdr:colOff>
      <xdr:row>17</xdr:row>
      <xdr:rowOff>2722</xdr:rowOff>
    </xdr:from>
    <xdr:to>
      <xdr:col>6</xdr:col>
      <xdr:colOff>555170</xdr:colOff>
      <xdr:row>22</xdr:row>
      <xdr:rowOff>19051</xdr:rowOff>
    </xdr:to>
    <xdr:sp macro="" textlink="">
      <xdr:nvSpPr>
        <xdr:cNvPr id="3" name="TextBox 2">
          <a:hlinkClick xmlns:r="http://schemas.openxmlformats.org/officeDocument/2006/relationships" r:id="rId2"/>
          <a:extLst>
            <a:ext uri="{FF2B5EF4-FFF2-40B4-BE49-F238E27FC236}">
              <a16:creationId xmlns:a16="http://schemas.microsoft.com/office/drawing/2014/main" id="{3C622541-B6A5-47EC-8A8A-F169A820ABC4}"/>
            </a:ext>
          </a:extLst>
        </xdr:cNvPr>
        <xdr:cNvSpPr txBox="1"/>
      </xdr:nvSpPr>
      <xdr:spPr>
        <a:xfrm>
          <a:off x="3265713" y="2865665"/>
          <a:ext cx="1382486" cy="843643"/>
        </a:xfrm>
        <a:prstGeom prst="roundRect">
          <a:avLst/>
        </a:prstGeom>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wrap="square" rtlCol="0" anchor="t"/>
        <a:lstStyle/>
        <a:p>
          <a:pPr algn="ctr"/>
          <a:r>
            <a:rPr lang="en-US" sz="1400"/>
            <a:t>How to Determine a Drainage</a:t>
          </a:r>
          <a:r>
            <a:rPr lang="en-US" sz="1400" baseline="0"/>
            <a:t> Area </a:t>
          </a:r>
          <a:endParaRPr lang="en-US" sz="1400"/>
        </a:p>
      </xdr:txBody>
    </xdr:sp>
    <xdr:clientData/>
  </xdr:twoCellAnchor>
  <xdr:twoCellAnchor>
    <xdr:from>
      <xdr:col>8</xdr:col>
      <xdr:colOff>457199</xdr:colOff>
      <xdr:row>17</xdr:row>
      <xdr:rowOff>2722</xdr:rowOff>
    </xdr:from>
    <xdr:to>
      <xdr:col>11</xdr:col>
      <xdr:colOff>511627</xdr:colOff>
      <xdr:row>22</xdr:row>
      <xdr:rowOff>19051</xdr:rowOff>
    </xdr:to>
    <xdr:sp macro="" textlink="">
      <xdr:nvSpPr>
        <xdr:cNvPr id="4" name="TextBox 3">
          <a:hlinkClick xmlns:r="http://schemas.openxmlformats.org/officeDocument/2006/relationships" r:id="rId3"/>
          <a:extLst>
            <a:ext uri="{FF2B5EF4-FFF2-40B4-BE49-F238E27FC236}">
              <a16:creationId xmlns:a16="http://schemas.microsoft.com/office/drawing/2014/main" id="{7FCFD934-ED4E-4945-AD39-53919BD562EF}"/>
            </a:ext>
          </a:extLst>
        </xdr:cNvPr>
        <xdr:cNvSpPr txBox="1"/>
      </xdr:nvSpPr>
      <xdr:spPr>
        <a:xfrm>
          <a:off x="5595256" y="2865665"/>
          <a:ext cx="1393371" cy="843643"/>
        </a:xfrm>
        <a:prstGeom prst="roundRect">
          <a:avLst/>
        </a:prstGeom>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wrap="square" rtlCol="0" anchor="t"/>
        <a:lstStyle/>
        <a:p>
          <a:pPr algn="ctr"/>
          <a:r>
            <a:rPr lang="en-US" sz="1400"/>
            <a:t>How to Calculate Practice</a:t>
          </a:r>
          <a:r>
            <a:rPr lang="en-US" sz="1400" baseline="0"/>
            <a:t> Areas</a:t>
          </a:r>
          <a:endParaRPr lang="en-US" sz="1400"/>
        </a:p>
      </xdr:txBody>
    </xdr:sp>
    <xdr:clientData/>
  </xdr:twoCellAnchor>
  <xdr:twoCellAnchor>
    <xdr:from>
      <xdr:col>13</xdr:col>
      <xdr:colOff>217714</xdr:colOff>
      <xdr:row>16</xdr:row>
      <xdr:rowOff>68036</xdr:rowOff>
    </xdr:from>
    <xdr:to>
      <xdr:col>15</xdr:col>
      <xdr:colOff>478970</xdr:colOff>
      <xdr:row>22</xdr:row>
      <xdr:rowOff>29936</xdr:rowOff>
    </xdr:to>
    <xdr:sp macro="" textlink="">
      <xdr:nvSpPr>
        <xdr:cNvPr id="5" name="TextBox 4">
          <a:hlinkClick xmlns:r="http://schemas.openxmlformats.org/officeDocument/2006/relationships" r:id="rId4"/>
          <a:extLst>
            <a:ext uri="{FF2B5EF4-FFF2-40B4-BE49-F238E27FC236}">
              <a16:creationId xmlns:a16="http://schemas.microsoft.com/office/drawing/2014/main" id="{B0F4115A-F339-4CC7-B474-CB9932AD256A}"/>
            </a:ext>
          </a:extLst>
        </xdr:cNvPr>
        <xdr:cNvSpPr txBox="1"/>
      </xdr:nvSpPr>
      <xdr:spPr>
        <a:xfrm>
          <a:off x="7935685" y="2854779"/>
          <a:ext cx="1502228" cy="865414"/>
        </a:xfrm>
        <a:prstGeom prst="roundRect">
          <a:avLst/>
        </a:prstGeom>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wrap="square" rtlCol="0" anchor="t"/>
        <a:lstStyle/>
        <a:p>
          <a:pPr algn="ctr"/>
          <a:r>
            <a:rPr lang="en-US" sz="1400"/>
            <a:t>Equivalent Water Depth (EWD)</a:t>
          </a:r>
          <a:r>
            <a:rPr lang="en-US" sz="1400" baseline="0"/>
            <a:t> Calculator</a:t>
          </a:r>
          <a:endParaRPr lang="en-US"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182880</xdr:colOff>
      <xdr:row>1</xdr:row>
      <xdr:rowOff>91440</xdr:rowOff>
    </xdr:from>
    <xdr:to>
      <xdr:col>12</xdr:col>
      <xdr:colOff>335280</xdr:colOff>
      <xdr:row>2</xdr:row>
      <xdr:rowOff>662940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5859780" y="350520"/>
          <a:ext cx="1981200" cy="762000"/>
        </a:xfrm>
        <a:prstGeom prst="roundRect">
          <a:avLst/>
        </a:prstGeom>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rtlCol="0" anchor="ctr"/>
        <a:lstStyle/>
        <a:p>
          <a:pPr algn="ctr"/>
          <a:r>
            <a:rPr lang="en-US" sz="1100"/>
            <a:t>A Guide to Credits for Commonly Used Stormwater Management Practices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342900</xdr:colOff>
      <xdr:row>6</xdr:row>
      <xdr:rowOff>32173</xdr:rowOff>
    </xdr:from>
    <xdr:to>
      <xdr:col>5</xdr:col>
      <xdr:colOff>144103</xdr:colOff>
      <xdr:row>21</xdr:row>
      <xdr:rowOff>15240</xdr:rowOff>
    </xdr:to>
    <xdr:pic>
      <xdr:nvPicPr>
        <xdr:cNvPr id="2" name="Picture 1">
          <a:extLst>
            <a:ext uri="{FF2B5EF4-FFF2-40B4-BE49-F238E27FC236}">
              <a16:creationId xmlns:a16="http://schemas.microsoft.com/office/drawing/2014/main" id="{2D86E913-D1C6-429A-A48A-502B68A0718B}"/>
            </a:ext>
          </a:extLst>
        </xdr:cNvPr>
        <xdr:cNvPicPr>
          <a:picLocks noChangeAspect="1"/>
        </xdr:cNvPicPr>
      </xdr:nvPicPr>
      <xdr:blipFill>
        <a:blip xmlns:r="http://schemas.openxmlformats.org/officeDocument/2006/relationships" r:embed="rId1"/>
        <a:stretch>
          <a:fillRect/>
        </a:stretch>
      </xdr:blipFill>
      <xdr:spPr>
        <a:xfrm>
          <a:off x="342900" y="1167553"/>
          <a:ext cx="2925403" cy="2611967"/>
        </a:xfrm>
        <a:prstGeom prst="rect">
          <a:avLst/>
        </a:prstGeom>
      </xdr:spPr>
    </xdr:pic>
    <xdr:clientData/>
  </xdr:twoCellAnchor>
  <xdr:twoCellAnchor editAs="oneCell">
    <xdr:from>
      <xdr:col>0</xdr:col>
      <xdr:colOff>521624</xdr:colOff>
      <xdr:row>23</xdr:row>
      <xdr:rowOff>88671</xdr:rowOff>
    </xdr:from>
    <xdr:to>
      <xdr:col>4</xdr:col>
      <xdr:colOff>578497</xdr:colOff>
      <xdr:row>37</xdr:row>
      <xdr:rowOff>38101</xdr:rowOff>
    </xdr:to>
    <xdr:pic>
      <xdr:nvPicPr>
        <xdr:cNvPr id="3" name="Picture 2">
          <a:extLst>
            <a:ext uri="{FF2B5EF4-FFF2-40B4-BE49-F238E27FC236}">
              <a16:creationId xmlns:a16="http://schemas.microsoft.com/office/drawing/2014/main" id="{245A5DFC-EDEF-4F1E-9C6A-0A1382F6DDE5}"/>
            </a:ext>
          </a:extLst>
        </xdr:cNvPr>
        <xdr:cNvPicPr>
          <a:picLocks noChangeAspect="1"/>
        </xdr:cNvPicPr>
      </xdr:nvPicPr>
      <xdr:blipFill>
        <a:blip xmlns:r="http://schemas.openxmlformats.org/officeDocument/2006/relationships" r:embed="rId2"/>
        <a:stretch>
          <a:fillRect/>
        </a:stretch>
      </xdr:blipFill>
      <xdr:spPr>
        <a:xfrm>
          <a:off x="521624" y="4203471"/>
          <a:ext cx="2556233" cy="24030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228600</xdr:colOff>
      <xdr:row>10</xdr:row>
      <xdr:rowOff>128587</xdr:rowOff>
    </xdr:from>
    <xdr:ext cx="8296054" cy="187872"/>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D4AE029A-1144-49EF-AE7F-5FF259DF2223}"/>
                </a:ext>
              </a:extLst>
            </xdr:cNvPr>
            <xdr:cNvSpPr txBox="1"/>
          </xdr:nvSpPr>
          <xdr:spPr>
            <a:xfrm>
              <a:off x="228600" y="1957387"/>
              <a:ext cx="8296054" cy="187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200" b="0" i="1">
                        <a:latin typeface="Cambria Math" panose="02040503050406030204" pitchFamily="18" charset="0"/>
                      </a:rPr>
                      <m:t>𝐸𝑊𝐷</m:t>
                    </m:r>
                    <m:r>
                      <a:rPr lang="en-US" sz="1200" b="0" i="1">
                        <a:latin typeface="Cambria Math" panose="02040503050406030204" pitchFamily="18" charset="0"/>
                      </a:rPr>
                      <m:t>(</m:t>
                    </m:r>
                    <m:r>
                      <a:rPr lang="en-US" sz="1200" b="0" i="1">
                        <a:latin typeface="Cambria Math" panose="02040503050406030204" pitchFamily="18" charset="0"/>
                      </a:rPr>
                      <m:t>𝑖𝑛</m:t>
                    </m:r>
                    <m:r>
                      <a:rPr lang="en-US" sz="1200" b="0" i="1">
                        <a:latin typeface="Cambria Math" panose="02040503050406030204" pitchFamily="18" charset="0"/>
                      </a:rPr>
                      <m:t>)=</m:t>
                    </m:r>
                    <m:r>
                      <a:rPr lang="en-US" sz="1200" b="0" i="1">
                        <a:latin typeface="Cambria Math" panose="02040503050406030204" pitchFamily="18" charset="0"/>
                      </a:rPr>
                      <m:t>𝑠𝑢𝑟𝑓𝑎𝑐𝑒</m:t>
                    </m:r>
                    <m:r>
                      <a:rPr lang="en-US" sz="1200" b="0" i="1">
                        <a:latin typeface="Cambria Math" panose="02040503050406030204" pitchFamily="18" charset="0"/>
                      </a:rPr>
                      <m:t> </m:t>
                    </m:r>
                    <m:r>
                      <a:rPr lang="en-US" sz="1200" b="0" i="1">
                        <a:latin typeface="Cambria Math" panose="02040503050406030204" pitchFamily="18" charset="0"/>
                      </a:rPr>
                      <m:t>𝑠𝑡𝑜𝑟𝑎𝑔𝑒</m:t>
                    </m:r>
                    <m:d>
                      <m:dPr>
                        <m:ctrlPr>
                          <a:rPr lang="en-US" sz="1200" b="0" i="1">
                            <a:latin typeface="Cambria Math" panose="02040503050406030204" pitchFamily="18" charset="0"/>
                          </a:rPr>
                        </m:ctrlPr>
                      </m:dPr>
                      <m:e>
                        <m:r>
                          <a:rPr lang="en-US" sz="1200" b="0" i="1">
                            <a:latin typeface="Cambria Math" panose="02040503050406030204" pitchFamily="18" charset="0"/>
                          </a:rPr>
                          <m:t>𝑖𝑛</m:t>
                        </m:r>
                      </m:e>
                    </m:d>
                    <m:r>
                      <a:rPr lang="en-US" sz="1200" b="0" i="1">
                        <a:latin typeface="Cambria Math" panose="02040503050406030204" pitchFamily="18" charset="0"/>
                      </a:rPr>
                      <m:t>+</m:t>
                    </m:r>
                    <m:d>
                      <m:dPr>
                        <m:ctrlPr>
                          <a:rPr lang="en-US" sz="1200" b="0" i="1">
                            <a:latin typeface="Cambria Math" panose="02040503050406030204" pitchFamily="18" charset="0"/>
                          </a:rPr>
                        </m:ctrlPr>
                      </m:dPr>
                      <m:e>
                        <m:r>
                          <a:rPr lang="en-US" sz="1200" b="0" i="1">
                            <a:latin typeface="Cambria Math" panose="02040503050406030204" pitchFamily="18" charset="0"/>
                          </a:rPr>
                          <m:t>𝑠𝑜𝑖𝑙</m:t>
                        </m:r>
                        <m:r>
                          <a:rPr lang="en-US" sz="1200" b="0" i="1">
                            <a:latin typeface="Cambria Math" panose="02040503050406030204" pitchFamily="18" charset="0"/>
                          </a:rPr>
                          <m:t> </m:t>
                        </m:r>
                        <m:r>
                          <a:rPr lang="en-US" sz="1200" b="0" i="1">
                            <a:latin typeface="Cambria Math" panose="02040503050406030204" pitchFamily="18" charset="0"/>
                          </a:rPr>
                          <m:t>𝑑𝑒𝑝𝑡h</m:t>
                        </m:r>
                        <m:d>
                          <m:dPr>
                            <m:ctrlPr>
                              <a:rPr lang="en-US" sz="1200" b="0" i="1">
                                <a:latin typeface="Cambria Math" panose="02040503050406030204" pitchFamily="18" charset="0"/>
                              </a:rPr>
                            </m:ctrlPr>
                          </m:dPr>
                          <m:e>
                            <m:r>
                              <a:rPr lang="en-US" sz="1200" b="0" i="1">
                                <a:latin typeface="Cambria Math" panose="02040503050406030204" pitchFamily="18" charset="0"/>
                              </a:rPr>
                              <m:t>𝑖𝑛</m:t>
                            </m:r>
                          </m:e>
                        </m:d>
                        <m:r>
                          <a:rPr lang="en-US" sz="1200" b="0" i="1">
                            <a:latin typeface="Cambria Math" panose="02040503050406030204" pitchFamily="18" charset="0"/>
                          </a:rPr>
                          <m:t>∗</m:t>
                        </m:r>
                        <m:r>
                          <a:rPr lang="en-US" sz="1200" b="0" i="1">
                            <a:latin typeface="Cambria Math" panose="02040503050406030204" pitchFamily="18" charset="0"/>
                          </a:rPr>
                          <m:t>𝑒𝑓𝑓𝑒𝑐𝑡𝑖𝑣𝑒</m:t>
                        </m:r>
                        <m:r>
                          <a:rPr lang="en-US" sz="1200" b="0" i="1">
                            <a:latin typeface="Cambria Math" panose="02040503050406030204" pitchFamily="18" charset="0"/>
                          </a:rPr>
                          <m:t> </m:t>
                        </m:r>
                        <m:r>
                          <a:rPr lang="en-US" sz="1200" b="0" i="1">
                            <a:latin typeface="Cambria Math" panose="02040503050406030204" pitchFamily="18" charset="0"/>
                          </a:rPr>
                          <m:t>𝑝𝑜𝑟𝑜𝑠𝑖𝑡𝑦</m:t>
                        </m:r>
                      </m:e>
                    </m:d>
                    <m:r>
                      <a:rPr lang="en-US" sz="1200" b="0" i="1">
                        <a:latin typeface="Cambria Math" panose="02040503050406030204" pitchFamily="18" charset="0"/>
                      </a:rPr>
                      <m:t>+</m:t>
                    </m:r>
                    <m:d>
                      <m:dPr>
                        <m:ctrlPr>
                          <a:rPr lang="en-US" sz="1200" b="0" i="1">
                            <a:latin typeface="Cambria Math" panose="02040503050406030204" pitchFamily="18" charset="0"/>
                          </a:rPr>
                        </m:ctrlPr>
                      </m:dPr>
                      <m:e>
                        <m:r>
                          <a:rPr lang="en-US" sz="1200" b="0" i="1">
                            <a:latin typeface="Cambria Math" panose="02040503050406030204" pitchFamily="18" charset="0"/>
                          </a:rPr>
                          <m:t>𝑎𝑔𝑔𝑟𝑒𝑔𝑎𝑡𝑒</m:t>
                        </m:r>
                        <m:r>
                          <a:rPr lang="en-US" sz="1200" b="0" i="1">
                            <a:latin typeface="Cambria Math" panose="02040503050406030204" pitchFamily="18" charset="0"/>
                          </a:rPr>
                          <m:t> </m:t>
                        </m:r>
                        <m:r>
                          <a:rPr lang="en-US" sz="1200" b="0" i="1">
                            <a:latin typeface="Cambria Math" panose="02040503050406030204" pitchFamily="18" charset="0"/>
                          </a:rPr>
                          <m:t>𝑑𝑒𝑝𝑡h</m:t>
                        </m:r>
                        <m:r>
                          <a:rPr lang="en-US" sz="1200" b="0" i="1">
                            <a:latin typeface="Cambria Math" panose="02040503050406030204" pitchFamily="18" charset="0"/>
                          </a:rPr>
                          <m:t> </m:t>
                        </m:r>
                        <m:d>
                          <m:dPr>
                            <m:ctrlPr>
                              <a:rPr lang="en-US" sz="1200" b="0" i="1">
                                <a:latin typeface="Cambria Math" panose="02040503050406030204" pitchFamily="18" charset="0"/>
                              </a:rPr>
                            </m:ctrlPr>
                          </m:dPr>
                          <m:e>
                            <m:r>
                              <a:rPr lang="en-US" sz="1200" b="0" i="1">
                                <a:latin typeface="Cambria Math" panose="02040503050406030204" pitchFamily="18" charset="0"/>
                              </a:rPr>
                              <m:t>𝑖𝑛</m:t>
                            </m:r>
                          </m:e>
                        </m:d>
                        <m:r>
                          <a:rPr lang="en-US" sz="1200" b="0" i="1">
                            <a:latin typeface="Cambria Math" panose="02040503050406030204" pitchFamily="18" charset="0"/>
                          </a:rPr>
                          <m:t>∗</m:t>
                        </m:r>
                        <m:r>
                          <a:rPr lang="en-US" sz="1200" b="0" i="1">
                            <a:latin typeface="Cambria Math" panose="02040503050406030204" pitchFamily="18" charset="0"/>
                          </a:rPr>
                          <m:t>𝑒𝑓𝑓𝑒𝑐𝑡𝑖𝑣𝑒</m:t>
                        </m:r>
                        <m:r>
                          <a:rPr lang="en-US" sz="1200" b="0" i="1">
                            <a:latin typeface="Cambria Math" panose="02040503050406030204" pitchFamily="18" charset="0"/>
                          </a:rPr>
                          <m:t> </m:t>
                        </m:r>
                        <m:r>
                          <a:rPr lang="en-US" sz="1200" b="0" i="1">
                            <a:latin typeface="Cambria Math" panose="02040503050406030204" pitchFamily="18" charset="0"/>
                          </a:rPr>
                          <m:t>𝑝𝑜𝑟𝑜𝑠𝑖𝑡𝑦</m:t>
                        </m:r>
                      </m:e>
                    </m:d>
                  </m:oMath>
                </m:oMathPara>
              </a14:m>
              <a:endParaRPr lang="en-US" sz="1100" b="0"/>
            </a:p>
          </xdr:txBody>
        </xdr:sp>
      </mc:Choice>
      <mc:Fallback xmlns="">
        <xdr:sp macro="" textlink="">
          <xdr:nvSpPr>
            <xdr:cNvPr id="2" name="TextBox 1">
              <a:extLst>
                <a:ext uri="{FF2B5EF4-FFF2-40B4-BE49-F238E27FC236}">
                  <a16:creationId xmlns:a16="http://schemas.microsoft.com/office/drawing/2014/main" id="{D4AE029A-1144-49EF-AE7F-5FF259DF2223}"/>
                </a:ext>
              </a:extLst>
            </xdr:cNvPr>
            <xdr:cNvSpPr txBox="1"/>
          </xdr:nvSpPr>
          <xdr:spPr>
            <a:xfrm>
              <a:off x="228600" y="1957387"/>
              <a:ext cx="8296054" cy="187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200" b="0" i="0">
                  <a:latin typeface="Cambria Math" panose="02040503050406030204" pitchFamily="18" charset="0"/>
                </a:rPr>
                <a:t>𝐸𝑊𝐷(𝑖𝑛)=𝑠𝑢𝑟𝑓𝑎𝑐𝑒 𝑠𝑡𝑜𝑟𝑎𝑔𝑒(𝑖𝑛)+(𝑠𝑜𝑖𝑙 𝑑𝑒𝑝𝑡ℎ(𝑖𝑛)∗𝑒𝑓𝑓𝑒𝑐𝑡𝑖𝑣𝑒 𝑝𝑜𝑟𝑜𝑠𝑖𝑡𝑦)+(𝑎𝑔𝑔𝑟𝑒𝑔𝑎𝑡𝑒 𝑑𝑒𝑝𝑡ℎ (𝑖𝑛)∗𝑒𝑓𝑓𝑒𝑐𝑡𝑖𝑣𝑒 𝑝𝑜𝑟𝑜𝑠𝑖𝑡𝑦)</a:t>
              </a:r>
              <a:endParaRPr lang="en-US" sz="1100" b="0"/>
            </a:p>
          </xdr:txBody>
        </xdr:sp>
      </mc:Fallback>
    </mc:AlternateContent>
    <xdr:clientData/>
  </xdr:oneCellAnchor>
</xdr:wsDr>
</file>

<file path=xl/drawings/drawing5.xml><?xml version="1.0" encoding="utf-8"?>
<xdr:wsDr xmlns:xdr="http://schemas.openxmlformats.org/drawingml/2006/spreadsheetDrawing" xmlns:a="http://schemas.openxmlformats.org/drawingml/2006/main">
  <xdr:twoCellAnchor>
    <xdr:from>
      <xdr:col>10</xdr:col>
      <xdr:colOff>53340</xdr:colOff>
      <xdr:row>3</xdr:row>
      <xdr:rowOff>137161</xdr:rowOff>
    </xdr:from>
    <xdr:to>
      <xdr:col>12</xdr:col>
      <xdr:colOff>213360</xdr:colOff>
      <xdr:row>7</xdr:row>
      <xdr:rowOff>99060</xdr:rowOff>
    </xdr:to>
    <xdr:sp macro="" textlink="">
      <xdr:nvSpPr>
        <xdr:cNvPr id="5" name="TextBox 4">
          <a:hlinkClick xmlns:r="http://schemas.openxmlformats.org/officeDocument/2006/relationships" r:id="rId1"/>
          <a:extLst>
            <a:ext uri="{FF2B5EF4-FFF2-40B4-BE49-F238E27FC236}">
              <a16:creationId xmlns:a16="http://schemas.microsoft.com/office/drawing/2014/main" id="{00000000-0008-0000-0F00-000005000000}"/>
            </a:ext>
          </a:extLst>
        </xdr:cNvPr>
        <xdr:cNvSpPr txBox="1"/>
      </xdr:nvSpPr>
      <xdr:spPr>
        <a:xfrm>
          <a:off x="6149340" y="784861"/>
          <a:ext cx="1379220" cy="739139"/>
        </a:xfrm>
        <a:prstGeom prst="round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pPr algn="ctr"/>
          <a:r>
            <a:rPr lang="en-US" sz="1100"/>
            <a:t>A Guide for</a:t>
          </a:r>
          <a:r>
            <a:rPr lang="en-US" sz="1100" baseline="0"/>
            <a:t> Credit Application and Process Renewals</a:t>
          </a:r>
          <a:endParaRPr lang="en-US" sz="1100"/>
        </a:p>
        <a:p>
          <a:pPr algn="ctr"/>
          <a:endParaRPr lang="en-US" sz="1100"/>
        </a:p>
      </xdr:txBody>
    </xdr:sp>
    <xdr:clientData/>
  </xdr:twoCellAnchor>
</xdr:wsDr>
</file>

<file path=xl/theme/theme1.xml><?xml version="1.0" encoding="utf-8"?>
<a:theme xmlns:a="http://schemas.openxmlformats.org/drawingml/2006/main" name="Office Theme">
  <a:themeElements>
    <a:clrScheme name="Blue">
      <a:dk1>
        <a:sysClr val="windowText" lastClr="000000"/>
      </a:dk1>
      <a:lt1>
        <a:sysClr val="window" lastClr="FFFFFF"/>
      </a:lt1>
      <a:dk2>
        <a:srgbClr val="17406D"/>
      </a:dk2>
      <a:lt2>
        <a:srgbClr val="DBEFF9"/>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85DFD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rainage@detroitmi.gov"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hyperlink" Target="mailto:drainage@detroitmi.gov"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8"/>
  <sheetViews>
    <sheetView showGridLines="0" zoomScale="80" zoomScaleNormal="80" zoomScaleSheetLayoutView="80" zoomScalePageLayoutView="70" workbookViewId="0">
      <selection activeCell="S4" sqref="S4"/>
    </sheetView>
  </sheetViews>
  <sheetFormatPr defaultRowHeight="15" x14ac:dyDescent="0.25"/>
  <cols>
    <col min="1" max="1" width="9.28515625" customWidth="1"/>
    <col min="2" max="2" width="11" customWidth="1"/>
    <col min="3" max="3" width="7.28515625" customWidth="1"/>
    <col min="4" max="4" width="9.85546875" customWidth="1"/>
    <col min="5" max="5" width="8.7109375" customWidth="1"/>
    <col min="6" max="6" width="12" customWidth="1"/>
    <col min="8" max="8" width="6" customWidth="1"/>
    <col min="9" max="9" width="12.7109375" customWidth="1"/>
    <col min="10" max="10" width="2.7109375" customWidth="1"/>
    <col min="11" max="11" width="3.42578125" customWidth="1"/>
    <col min="15" max="15" width="8.85546875" customWidth="1"/>
  </cols>
  <sheetData>
    <row r="1" spans="1:17" ht="24" thickBot="1" x14ac:dyDescent="0.4">
      <c r="A1" s="192" t="s">
        <v>219</v>
      </c>
      <c r="B1" s="192"/>
      <c r="C1" s="192"/>
      <c r="D1" s="192"/>
      <c r="E1" s="192"/>
      <c r="F1" s="192"/>
      <c r="G1" s="192"/>
      <c r="H1" s="192"/>
      <c r="I1" s="192"/>
      <c r="J1" s="192"/>
      <c r="K1" s="192"/>
      <c r="L1" s="192"/>
      <c r="M1" s="192"/>
      <c r="N1" s="192"/>
      <c r="O1" s="192"/>
      <c r="P1" s="192"/>
      <c r="Q1" s="192"/>
    </row>
    <row r="2" spans="1:17" ht="17.25" thickTop="1" x14ac:dyDescent="0.3">
      <c r="A2" s="19" t="s">
        <v>132</v>
      </c>
      <c r="B2" s="19"/>
      <c r="C2" s="19"/>
      <c r="D2" s="19"/>
      <c r="E2" s="19"/>
      <c r="F2" s="19"/>
      <c r="G2" s="19"/>
      <c r="H2" s="19"/>
      <c r="I2" s="19"/>
      <c r="J2" s="19"/>
      <c r="K2" s="19"/>
      <c r="L2" s="19"/>
      <c r="M2" s="19"/>
      <c r="N2" s="19"/>
      <c r="O2" s="19"/>
      <c r="P2" s="19"/>
      <c r="Q2" s="19"/>
    </row>
    <row r="3" spans="1:17" ht="9.6" customHeight="1" x14ac:dyDescent="0.3">
      <c r="A3" s="19"/>
      <c r="B3" s="19"/>
      <c r="C3" s="19"/>
      <c r="D3" s="19"/>
      <c r="E3" s="19"/>
      <c r="F3" s="19"/>
      <c r="G3" s="19"/>
      <c r="H3" s="19"/>
      <c r="I3" s="19"/>
      <c r="J3" s="19"/>
      <c r="K3" s="19"/>
      <c r="L3" s="19"/>
      <c r="M3" s="19"/>
      <c r="N3" s="19"/>
      <c r="O3" s="19"/>
      <c r="P3" s="19"/>
      <c r="Q3" s="19"/>
    </row>
    <row r="4" spans="1:17" ht="18" thickBot="1" x14ac:dyDescent="0.35">
      <c r="A4" s="20" t="s">
        <v>100</v>
      </c>
      <c r="B4" s="1"/>
      <c r="C4" s="1"/>
      <c r="D4" s="1"/>
      <c r="E4" s="1"/>
      <c r="F4" s="1"/>
      <c r="G4" s="1"/>
      <c r="H4" s="1"/>
      <c r="I4" s="1"/>
      <c r="J4" s="1"/>
      <c r="K4" s="1"/>
      <c r="L4" s="1"/>
      <c r="M4" s="1"/>
      <c r="N4" s="1"/>
      <c r="O4" s="1"/>
      <c r="P4" s="1"/>
      <c r="Q4" s="1"/>
    </row>
    <row r="5" spans="1:17" ht="17.25" thickTop="1" x14ac:dyDescent="0.3">
      <c r="A5" s="194" t="s">
        <v>208</v>
      </c>
      <c r="B5" s="194"/>
      <c r="C5" s="194"/>
      <c r="D5" s="194"/>
      <c r="E5" s="194"/>
      <c r="F5" s="194"/>
      <c r="G5" s="194"/>
      <c r="H5" s="194"/>
      <c r="I5" s="194"/>
      <c r="J5" s="194"/>
      <c r="K5" s="194"/>
      <c r="L5" s="194"/>
      <c r="M5" s="194"/>
      <c r="N5" s="194"/>
      <c r="O5" s="194"/>
      <c r="P5" s="194"/>
      <c r="Q5" s="194"/>
    </row>
    <row r="6" spans="1:17" s="52" customFormat="1" ht="6" customHeight="1" x14ac:dyDescent="0.3">
      <c r="A6" s="56"/>
      <c r="B6" s="56"/>
      <c r="C6" s="56"/>
      <c r="D6" s="56"/>
      <c r="E6" s="56"/>
      <c r="F6" s="56"/>
      <c r="G6" s="56"/>
      <c r="H6" s="56"/>
      <c r="I6" s="56"/>
      <c r="J6" s="56"/>
      <c r="K6" s="56"/>
      <c r="L6" s="56"/>
      <c r="M6" s="56"/>
      <c r="N6" s="56"/>
      <c r="O6" s="56"/>
      <c r="P6" s="19"/>
      <c r="Q6" s="19"/>
    </row>
    <row r="7" spans="1:17" s="52" customFormat="1" ht="15" customHeight="1" x14ac:dyDescent="0.3">
      <c r="A7" s="59" t="s">
        <v>114</v>
      </c>
      <c r="B7" s="60" t="s">
        <v>109</v>
      </c>
      <c r="C7" s="56" t="s">
        <v>110</v>
      </c>
      <c r="F7" s="56"/>
      <c r="G7" s="56"/>
      <c r="H7" s="56"/>
      <c r="I7" s="56"/>
      <c r="J7" s="56"/>
      <c r="K7" s="56"/>
      <c r="L7" s="56"/>
      <c r="M7" s="56"/>
      <c r="N7" s="56"/>
      <c r="O7" s="56"/>
      <c r="P7" s="19"/>
      <c r="Q7" s="19"/>
    </row>
    <row r="8" spans="1:17" s="52" customFormat="1" ht="15" customHeight="1" x14ac:dyDescent="0.3">
      <c r="A8" s="59" t="s">
        <v>114</v>
      </c>
      <c r="B8" s="63" t="s">
        <v>115</v>
      </c>
      <c r="C8" s="56" t="s">
        <v>116</v>
      </c>
      <c r="F8" s="56"/>
      <c r="G8" s="56"/>
      <c r="H8" s="56"/>
      <c r="I8" s="56"/>
      <c r="J8" s="56"/>
      <c r="K8" s="56"/>
      <c r="L8" s="56"/>
      <c r="M8" s="56"/>
      <c r="N8" s="56"/>
      <c r="O8" s="56"/>
      <c r="P8" s="19"/>
      <c r="Q8" s="19"/>
    </row>
    <row r="9" spans="1:17" s="52" customFormat="1" ht="7.9" customHeight="1" x14ac:dyDescent="0.3">
      <c r="A9" s="19"/>
      <c r="B9" s="19"/>
      <c r="C9" s="19"/>
      <c r="D9" s="19"/>
      <c r="E9" s="19"/>
      <c r="F9" s="19"/>
      <c r="G9" s="19"/>
      <c r="H9" s="19"/>
      <c r="I9" s="19"/>
      <c r="J9" s="19"/>
      <c r="K9" s="19"/>
      <c r="L9" s="19"/>
      <c r="M9" s="19"/>
      <c r="N9" s="19"/>
      <c r="O9" s="19"/>
      <c r="P9" s="19"/>
      <c r="Q9" s="19"/>
    </row>
    <row r="10" spans="1:17" s="52" customFormat="1" ht="16.5" x14ac:dyDescent="0.3">
      <c r="A10" s="19"/>
      <c r="B10" s="19"/>
      <c r="C10" s="19"/>
      <c r="D10" s="19"/>
      <c r="E10" s="19"/>
      <c r="F10" s="19"/>
      <c r="G10" s="19"/>
      <c r="H10" s="19"/>
      <c r="I10" s="19"/>
      <c r="J10" s="19"/>
      <c r="K10" s="19"/>
      <c r="L10" s="19"/>
      <c r="M10" s="19"/>
      <c r="N10" s="19"/>
      <c r="O10" s="19"/>
      <c r="P10" s="19"/>
      <c r="Q10" s="19"/>
    </row>
    <row r="11" spans="1:17" ht="9.6" customHeight="1" x14ac:dyDescent="0.3">
      <c r="A11" s="19"/>
      <c r="B11" s="19"/>
      <c r="C11" s="19"/>
      <c r="D11" s="19"/>
      <c r="E11" s="19"/>
      <c r="F11" s="19"/>
      <c r="G11" s="19"/>
      <c r="H11" s="19"/>
      <c r="I11" s="19"/>
      <c r="J11" s="19"/>
      <c r="K11" s="19"/>
      <c r="L11" s="19"/>
      <c r="M11" s="19"/>
      <c r="N11" s="19"/>
      <c r="O11" s="19"/>
      <c r="P11" s="19"/>
      <c r="Q11" s="19"/>
    </row>
    <row r="12" spans="1:17" ht="18" thickBot="1" x14ac:dyDescent="0.35">
      <c r="A12" s="20" t="s">
        <v>131</v>
      </c>
      <c r="B12" s="1"/>
      <c r="C12" s="1"/>
      <c r="D12" s="1"/>
      <c r="E12" s="1"/>
      <c r="F12" s="1"/>
      <c r="G12" s="1"/>
      <c r="H12" s="1"/>
      <c r="I12" s="1"/>
      <c r="J12" s="1"/>
      <c r="K12" s="1"/>
      <c r="L12" s="1"/>
      <c r="M12" s="1"/>
      <c r="N12" s="1"/>
      <c r="O12" s="1"/>
      <c r="P12" s="1"/>
      <c r="Q12" s="1"/>
    </row>
    <row r="13" spans="1:17" s="52" customFormat="1" ht="6.6" customHeight="1" thickTop="1" x14ac:dyDescent="0.25"/>
    <row r="14" spans="1:17" ht="16.5" x14ac:dyDescent="0.3">
      <c r="A14" s="62" t="s">
        <v>136</v>
      </c>
      <c r="P14" s="19"/>
      <c r="Q14" s="19"/>
    </row>
    <row r="15" spans="1:17" s="53" customFormat="1" ht="16.5" x14ac:dyDescent="0.3">
      <c r="A15" s="62"/>
      <c r="P15" s="57"/>
      <c r="Q15" s="57"/>
    </row>
    <row r="16" spans="1:17" s="52" customFormat="1" ht="16.5" x14ac:dyDescent="0.3">
      <c r="P16" s="19"/>
      <c r="Q16" s="19"/>
    </row>
    <row r="17" spans="1:18" s="52" customFormat="1" ht="6" customHeight="1" x14ac:dyDescent="0.3">
      <c r="P17" s="19"/>
      <c r="Q17" s="19"/>
    </row>
    <row r="18" spans="1:18" ht="14.45" customHeight="1" x14ac:dyDescent="0.3">
      <c r="P18" s="19"/>
      <c r="Q18" s="19"/>
    </row>
    <row r="19" spans="1:18" ht="14.45" customHeight="1" x14ac:dyDescent="0.3">
      <c r="P19" s="19"/>
      <c r="Q19" s="19"/>
    </row>
    <row r="20" spans="1:18" s="52" customFormat="1" ht="6.6" customHeight="1" x14ac:dyDescent="0.25">
      <c r="A20" s="127"/>
      <c r="B20" s="127"/>
      <c r="C20" s="127"/>
      <c r="D20" s="127"/>
      <c r="R20" s="25"/>
    </row>
    <row r="21" spans="1:18" ht="16.5" x14ac:dyDescent="0.25">
      <c r="A21" s="127"/>
      <c r="B21" s="127"/>
      <c r="C21" s="127"/>
      <c r="D21" s="127"/>
      <c r="R21" s="25"/>
    </row>
    <row r="22" spans="1:18" ht="14.45" customHeight="1" x14ac:dyDescent="0.25">
      <c r="A22" s="130"/>
      <c r="B22" s="130"/>
      <c r="C22" s="130"/>
      <c r="D22" s="130"/>
      <c r="E22" s="127"/>
      <c r="F22" s="130"/>
      <c r="G22" s="130"/>
      <c r="H22" s="130"/>
      <c r="I22" s="130"/>
      <c r="J22" s="130"/>
      <c r="K22" s="130"/>
      <c r="L22" s="130"/>
      <c r="M22" s="129"/>
      <c r="N22" s="129"/>
      <c r="O22" s="131"/>
      <c r="P22" s="131"/>
      <c r="R22" s="25"/>
    </row>
    <row r="23" spans="1:18" ht="31.15" customHeight="1" x14ac:dyDescent="0.25">
      <c r="A23" s="130"/>
      <c r="B23" s="130"/>
      <c r="C23" s="130"/>
      <c r="D23" s="130"/>
      <c r="E23" s="127"/>
      <c r="F23" s="130"/>
      <c r="G23" s="130"/>
      <c r="H23" s="129"/>
      <c r="I23" s="129"/>
      <c r="J23" s="130"/>
      <c r="K23" s="130"/>
      <c r="L23" s="130"/>
      <c r="M23" s="128"/>
      <c r="N23" s="128"/>
      <c r="O23" s="131"/>
      <c r="P23" s="131"/>
      <c r="Q23" s="128"/>
      <c r="R23" s="25"/>
    </row>
    <row r="24" spans="1:18" s="52" customFormat="1" ht="10.15" customHeight="1" x14ac:dyDescent="0.3">
      <c r="A24" s="127"/>
      <c r="B24" s="127"/>
      <c r="C24" s="127"/>
      <c r="D24" s="127"/>
      <c r="E24" s="127"/>
      <c r="F24" s="127"/>
      <c r="G24" s="51"/>
      <c r="H24" s="51"/>
      <c r="I24" s="51"/>
      <c r="J24" s="51"/>
      <c r="K24" s="51"/>
      <c r="L24" s="51"/>
      <c r="M24" s="51"/>
      <c r="N24" s="51"/>
      <c r="O24" s="51"/>
      <c r="P24" s="51"/>
      <c r="Q24" s="19"/>
    </row>
    <row r="25" spans="1:18" s="52" customFormat="1" ht="19.899999999999999" customHeight="1" thickBot="1" x14ac:dyDescent="0.35">
      <c r="A25" s="195" t="s">
        <v>101</v>
      </c>
      <c r="B25" s="195"/>
      <c r="C25" s="58"/>
      <c r="D25" s="58"/>
      <c r="E25" s="58"/>
      <c r="F25" s="58"/>
      <c r="G25" s="58"/>
      <c r="H25" s="58"/>
      <c r="I25" s="58"/>
      <c r="J25" s="58"/>
      <c r="K25" s="58"/>
      <c r="L25" s="58"/>
      <c r="M25" s="58"/>
      <c r="N25" s="58"/>
      <c r="O25" s="58"/>
      <c r="P25" s="58"/>
      <c r="Q25" s="58"/>
    </row>
    <row r="26" spans="1:18" ht="17.25" thickTop="1" x14ac:dyDescent="0.3">
      <c r="A26" s="27"/>
      <c r="B26" s="27"/>
      <c r="C26" s="27"/>
      <c r="D26" s="27"/>
      <c r="E26" s="27"/>
      <c r="F26" s="27"/>
      <c r="G26" s="27"/>
      <c r="H26" s="21" t="s">
        <v>102</v>
      </c>
      <c r="I26" s="61" t="s">
        <v>111</v>
      </c>
      <c r="J26" s="27" t="s">
        <v>112</v>
      </c>
      <c r="K26" s="27"/>
      <c r="L26" s="27"/>
      <c r="M26" s="27"/>
      <c r="O26" s="27"/>
      <c r="P26" s="27"/>
      <c r="Q26" s="27"/>
    </row>
    <row r="27" spans="1:18" ht="9" customHeight="1" x14ac:dyDescent="0.3">
      <c r="A27" s="15"/>
      <c r="B27" s="15"/>
      <c r="C27" s="15"/>
      <c r="D27" s="15"/>
      <c r="E27" s="15"/>
      <c r="F27" s="15"/>
      <c r="G27" s="15"/>
      <c r="H27" s="15"/>
      <c r="I27" s="15"/>
      <c r="J27" s="15"/>
      <c r="K27" s="15"/>
      <c r="L27" s="15"/>
      <c r="M27" s="15"/>
      <c r="N27" s="52"/>
      <c r="O27" s="52"/>
      <c r="P27" s="19"/>
      <c r="Q27" s="19"/>
    </row>
    <row r="28" spans="1:18" ht="18" thickBot="1" x14ac:dyDescent="0.35">
      <c r="A28" s="20" t="s">
        <v>139</v>
      </c>
      <c r="B28" s="20"/>
      <c r="C28" s="20"/>
      <c r="D28" s="20"/>
      <c r="E28" s="20"/>
      <c r="F28" s="20"/>
      <c r="G28" s="20"/>
      <c r="H28" s="20"/>
      <c r="I28" s="20"/>
      <c r="J28" s="20"/>
      <c r="K28" s="20"/>
      <c r="L28" s="20"/>
      <c r="M28" s="20"/>
      <c r="N28" s="20"/>
      <c r="O28" s="20"/>
      <c r="P28" s="20"/>
      <c r="Q28" s="20"/>
    </row>
    <row r="29" spans="1:18" ht="17.25" thickTop="1" x14ac:dyDescent="0.3">
      <c r="A29" s="198" t="s">
        <v>140</v>
      </c>
      <c r="B29" s="198"/>
      <c r="C29" s="198"/>
      <c r="D29" s="198"/>
      <c r="E29" s="198"/>
      <c r="F29" s="198"/>
      <c r="G29" s="198"/>
      <c r="H29" s="198"/>
      <c r="I29" s="198"/>
      <c r="J29" s="198"/>
      <c r="K29" s="198"/>
      <c r="L29" s="198"/>
      <c r="M29" s="198"/>
      <c r="N29" s="19"/>
      <c r="O29" s="19"/>
      <c r="P29" s="19"/>
      <c r="Q29" s="19"/>
    </row>
    <row r="30" spans="1:18" ht="16.5" x14ac:dyDescent="0.3">
      <c r="A30" s="199" t="s">
        <v>0</v>
      </c>
      <c r="B30" s="199"/>
      <c r="C30" s="19" t="s">
        <v>2</v>
      </c>
      <c r="D30" s="19"/>
      <c r="E30" s="19"/>
      <c r="F30" s="19"/>
      <c r="G30" s="19"/>
      <c r="H30" s="19"/>
      <c r="I30" s="19"/>
      <c r="J30" s="19"/>
      <c r="K30" s="19"/>
      <c r="L30" s="19"/>
      <c r="M30" s="19"/>
      <c r="N30" s="19"/>
      <c r="O30" s="19"/>
      <c r="P30" s="19"/>
      <c r="Q30" s="19"/>
    </row>
    <row r="31" spans="1:18" ht="16.5" x14ac:dyDescent="0.3">
      <c r="A31" s="196" t="s">
        <v>1</v>
      </c>
      <c r="B31" s="196"/>
      <c r="C31" s="19" t="s">
        <v>90</v>
      </c>
      <c r="D31" s="19"/>
      <c r="E31" s="19"/>
      <c r="F31" s="19"/>
      <c r="G31" s="19"/>
      <c r="H31" s="19"/>
      <c r="I31" s="19"/>
      <c r="J31" s="19"/>
      <c r="K31" s="19"/>
      <c r="L31" s="19"/>
      <c r="M31" s="19"/>
      <c r="N31" s="19"/>
      <c r="O31" s="19"/>
      <c r="P31" s="19"/>
      <c r="Q31" s="19"/>
    </row>
    <row r="32" spans="1:18" ht="16.5" x14ac:dyDescent="0.3">
      <c r="A32" s="197" t="s">
        <v>78</v>
      </c>
      <c r="B32" s="197"/>
      <c r="C32" s="19" t="s">
        <v>46</v>
      </c>
      <c r="D32" s="19"/>
      <c r="E32" s="19"/>
      <c r="F32" s="19"/>
      <c r="G32" s="19"/>
      <c r="H32" s="19"/>
      <c r="I32" s="19"/>
      <c r="J32" s="19"/>
      <c r="K32" s="19"/>
      <c r="L32" s="19"/>
      <c r="M32" s="19"/>
      <c r="N32" s="19"/>
      <c r="O32" s="19"/>
      <c r="P32" s="19"/>
      <c r="Q32" s="19"/>
    </row>
    <row r="33" spans="1:18" ht="14.45" customHeight="1" x14ac:dyDescent="0.3">
      <c r="A33" s="19"/>
      <c r="B33" s="19"/>
      <c r="C33" s="19"/>
      <c r="D33" s="19"/>
      <c r="E33" s="19"/>
      <c r="F33" s="19"/>
      <c r="G33" s="19"/>
      <c r="H33" s="19"/>
      <c r="I33" s="19"/>
      <c r="J33" s="19"/>
      <c r="K33" s="19"/>
      <c r="L33" s="19"/>
      <c r="M33" s="19"/>
      <c r="N33" s="19"/>
      <c r="O33" s="19"/>
      <c r="P33" s="19"/>
      <c r="Q33" s="19"/>
    </row>
    <row r="34" spans="1:18" ht="16.5" x14ac:dyDescent="0.3">
      <c r="A34" s="26" t="s">
        <v>28</v>
      </c>
      <c r="B34" s="26"/>
      <c r="C34" s="26"/>
      <c r="D34" s="26"/>
      <c r="E34" s="18"/>
      <c r="F34" s="71"/>
      <c r="G34" s="71"/>
      <c r="H34" s="52"/>
      <c r="I34" s="52"/>
      <c r="J34" s="52"/>
      <c r="K34" s="52"/>
      <c r="L34" s="52"/>
      <c r="M34" s="52"/>
      <c r="N34" s="52"/>
      <c r="O34" s="52"/>
      <c r="P34" s="52"/>
      <c r="Q34" s="52"/>
    </row>
    <row r="35" spans="1:18" ht="13.9" customHeight="1" x14ac:dyDescent="0.3">
      <c r="A35" s="18" t="s">
        <v>29</v>
      </c>
      <c r="B35" s="41" t="s">
        <v>30</v>
      </c>
      <c r="C35" s="18"/>
      <c r="D35" s="70"/>
      <c r="E35" s="18" t="s">
        <v>31</v>
      </c>
      <c r="F35" s="18" t="s">
        <v>125</v>
      </c>
      <c r="G35" s="71"/>
      <c r="H35" s="15"/>
      <c r="I35" s="52"/>
      <c r="J35" s="52"/>
      <c r="K35" s="193"/>
      <c r="L35" s="193"/>
      <c r="M35" s="193"/>
      <c r="N35" s="52"/>
      <c r="O35" s="193"/>
      <c r="P35" s="193"/>
      <c r="Q35" s="193"/>
      <c r="R35" s="28"/>
    </row>
    <row r="36" spans="1:18" ht="14.45" customHeight="1" x14ac:dyDescent="0.25">
      <c r="A36" s="52"/>
      <c r="B36" s="52"/>
      <c r="C36" s="52"/>
      <c r="D36" s="52"/>
      <c r="E36" s="52"/>
      <c r="F36" s="52"/>
      <c r="G36" s="52"/>
      <c r="H36" s="52"/>
      <c r="I36" s="52"/>
      <c r="J36" s="52"/>
      <c r="K36" s="52"/>
      <c r="L36" s="52"/>
      <c r="M36" s="52"/>
      <c r="N36" s="52"/>
      <c r="O36" s="52"/>
      <c r="P36" s="52"/>
      <c r="Q36" s="52"/>
      <c r="R36" s="28"/>
    </row>
    <row r="37" spans="1:18" ht="18" thickBot="1" x14ac:dyDescent="0.35">
      <c r="A37" s="145" t="s">
        <v>83</v>
      </c>
      <c r="B37" s="145"/>
      <c r="C37" s="145"/>
      <c r="D37" s="145" t="str">
        <f>IF(I16-D35&lt;0, "You are managing more impervious acres than you have"," ")</f>
        <v xml:space="preserve"> </v>
      </c>
      <c r="E37" s="145"/>
      <c r="F37" s="145"/>
      <c r="G37" s="145"/>
      <c r="H37" s="145"/>
      <c r="I37" s="145"/>
      <c r="J37" s="145"/>
      <c r="K37" s="145"/>
      <c r="L37" s="145"/>
      <c r="M37" s="145"/>
      <c r="N37" s="87"/>
      <c r="O37" s="87"/>
      <c r="P37" s="87"/>
      <c r="Q37" s="87"/>
    </row>
    <row r="38" spans="1:18" ht="15.75" thickTop="1" x14ac:dyDescent="0.25">
      <c r="A38" s="191" t="s">
        <v>137</v>
      </c>
      <c r="B38" s="191"/>
      <c r="C38" s="191"/>
      <c r="D38" s="191"/>
      <c r="E38" s="191"/>
      <c r="F38" s="191"/>
      <c r="G38" s="191"/>
      <c r="H38" s="191"/>
      <c r="I38" s="191"/>
      <c r="J38" s="191"/>
      <c r="K38" s="191"/>
      <c r="L38" s="191"/>
      <c r="M38" s="191"/>
      <c r="N38" s="191"/>
      <c r="O38" s="191"/>
      <c r="P38" s="191"/>
      <c r="Q38" s="191"/>
    </row>
    <row r="39" spans="1:18" x14ac:dyDescent="0.25">
      <c r="A39" s="191"/>
      <c r="B39" s="191"/>
      <c r="C39" s="191"/>
      <c r="D39" s="191"/>
      <c r="E39" s="191"/>
      <c r="F39" s="191"/>
      <c r="G39" s="191"/>
      <c r="H39" s="191"/>
      <c r="I39" s="191"/>
      <c r="J39" s="191"/>
      <c r="K39" s="191"/>
      <c r="L39" s="191"/>
      <c r="M39" s="191"/>
      <c r="N39" s="191"/>
      <c r="O39" s="191"/>
      <c r="P39" s="191"/>
      <c r="Q39" s="191"/>
    </row>
    <row r="40" spans="1:18" x14ac:dyDescent="0.25">
      <c r="A40" s="52"/>
      <c r="B40" s="52"/>
      <c r="C40" s="52"/>
      <c r="D40" s="52"/>
      <c r="E40" s="52"/>
      <c r="F40" s="52"/>
      <c r="G40" s="52"/>
      <c r="H40" s="52"/>
      <c r="I40" s="52"/>
      <c r="J40" s="52"/>
      <c r="K40" s="52"/>
      <c r="L40" s="52"/>
      <c r="M40" s="52"/>
      <c r="N40" s="52"/>
      <c r="O40" s="52"/>
      <c r="P40" s="52"/>
      <c r="Q40" s="52"/>
    </row>
    <row r="41" spans="1:18" x14ac:dyDescent="0.25">
      <c r="A41" s="52"/>
      <c r="B41" s="52"/>
      <c r="C41" s="52"/>
      <c r="D41" s="52"/>
      <c r="E41" s="52"/>
      <c r="F41" s="52"/>
      <c r="G41" s="52"/>
      <c r="H41" s="52"/>
      <c r="I41" s="52"/>
      <c r="J41" s="52"/>
      <c r="K41" s="52"/>
      <c r="L41" s="52"/>
      <c r="M41" s="52"/>
      <c r="N41" s="52"/>
      <c r="O41" s="52"/>
      <c r="P41" s="52"/>
      <c r="Q41" s="52"/>
    </row>
    <row r="42" spans="1:18" ht="16.5" x14ac:dyDescent="0.3">
      <c r="A42" s="19"/>
      <c r="B42" s="19"/>
      <c r="C42" s="19"/>
      <c r="D42" s="19"/>
      <c r="E42" s="19"/>
      <c r="F42" s="19"/>
      <c r="G42" s="19"/>
      <c r="H42" s="19"/>
      <c r="I42" s="19"/>
      <c r="J42" s="19"/>
      <c r="K42" s="19"/>
      <c r="L42" s="19"/>
      <c r="M42" s="19"/>
      <c r="N42" s="19"/>
      <c r="O42" s="19"/>
      <c r="P42" s="19"/>
      <c r="Q42" s="19"/>
    </row>
    <row r="43" spans="1:18" ht="16.5" x14ac:dyDescent="0.3">
      <c r="A43" s="19"/>
      <c r="B43" s="19"/>
      <c r="C43" s="19"/>
      <c r="D43" s="19"/>
      <c r="E43" s="19"/>
      <c r="F43" s="19"/>
      <c r="G43" s="19"/>
      <c r="H43" s="19"/>
      <c r="I43" s="19"/>
      <c r="J43" s="19"/>
      <c r="K43" s="19"/>
      <c r="L43" s="19"/>
      <c r="M43" s="19"/>
      <c r="N43" s="19"/>
      <c r="O43" s="19"/>
      <c r="P43" s="19"/>
      <c r="Q43" s="19"/>
    </row>
    <row r="44" spans="1:18" ht="16.5" x14ac:dyDescent="0.3">
      <c r="A44" s="19"/>
      <c r="B44" s="19"/>
      <c r="C44" s="19"/>
      <c r="D44" s="19"/>
      <c r="E44" s="19"/>
      <c r="F44" s="19"/>
      <c r="G44" s="19"/>
      <c r="H44" s="19"/>
      <c r="I44" s="19"/>
      <c r="J44" s="19"/>
      <c r="K44" s="19"/>
      <c r="L44" s="19"/>
      <c r="M44" s="19"/>
      <c r="N44" s="19"/>
      <c r="O44" s="19"/>
      <c r="P44" s="19"/>
      <c r="Q44" s="19"/>
    </row>
    <row r="45" spans="1:18" ht="16.5" x14ac:dyDescent="0.3">
      <c r="A45" s="19"/>
      <c r="B45" s="19"/>
      <c r="C45" s="19"/>
      <c r="D45" s="19"/>
      <c r="E45" s="19"/>
      <c r="F45" s="19"/>
      <c r="G45" s="19"/>
      <c r="H45" s="19"/>
      <c r="I45" s="19"/>
      <c r="J45" s="19"/>
      <c r="K45" s="19"/>
      <c r="L45" s="19"/>
      <c r="M45" s="19"/>
      <c r="N45" s="19"/>
      <c r="O45" s="19"/>
      <c r="P45" s="19"/>
      <c r="Q45" s="19"/>
    </row>
    <row r="46" spans="1:18" ht="16.5" x14ac:dyDescent="0.3">
      <c r="A46" s="19"/>
      <c r="B46" s="19"/>
      <c r="C46" s="19"/>
      <c r="D46" s="19"/>
      <c r="E46" s="19"/>
      <c r="F46" s="19"/>
      <c r="G46" s="19"/>
      <c r="H46" s="19"/>
      <c r="I46" s="19"/>
      <c r="J46" s="19"/>
      <c r="K46" s="19"/>
      <c r="L46" s="19"/>
      <c r="M46" s="19"/>
      <c r="N46" s="19"/>
      <c r="O46" s="19"/>
      <c r="P46" s="19"/>
      <c r="Q46" s="19"/>
    </row>
    <row r="47" spans="1:18" ht="16.5" x14ac:dyDescent="0.3">
      <c r="A47" s="19"/>
      <c r="B47" s="19"/>
      <c r="C47" s="19"/>
      <c r="D47" s="19"/>
      <c r="E47" s="19"/>
      <c r="F47" s="19"/>
      <c r="G47" s="19"/>
      <c r="H47" s="19"/>
      <c r="I47" s="19"/>
      <c r="J47" s="19"/>
      <c r="K47" s="19"/>
      <c r="L47" s="19"/>
      <c r="M47" s="19"/>
      <c r="N47" s="19"/>
      <c r="O47" s="19"/>
      <c r="P47" s="19"/>
      <c r="Q47" s="19"/>
    </row>
    <row r="48" spans="1:18" ht="16.5" x14ac:dyDescent="0.3">
      <c r="A48" s="19"/>
      <c r="B48" s="19"/>
      <c r="C48" s="19"/>
      <c r="D48" s="19"/>
      <c r="E48" s="19"/>
      <c r="F48" s="19"/>
      <c r="G48" s="19"/>
      <c r="H48" s="19"/>
      <c r="I48" s="19"/>
      <c r="J48" s="19"/>
      <c r="K48" s="19"/>
      <c r="L48" s="19"/>
      <c r="M48" s="19"/>
      <c r="N48" s="19"/>
      <c r="O48" s="19"/>
      <c r="P48" s="19"/>
      <c r="Q48" s="19"/>
    </row>
    <row r="49" spans="1:17" ht="16.5" x14ac:dyDescent="0.3">
      <c r="A49" s="19"/>
      <c r="B49" s="19"/>
      <c r="C49" s="19"/>
      <c r="D49" s="19"/>
      <c r="E49" s="19"/>
      <c r="F49" s="19"/>
      <c r="G49" s="19"/>
      <c r="H49" s="19"/>
      <c r="I49" s="19"/>
      <c r="J49" s="19"/>
      <c r="K49" s="19"/>
      <c r="L49" s="19"/>
      <c r="M49" s="19"/>
      <c r="N49" s="19"/>
      <c r="O49" s="19"/>
      <c r="P49" s="19"/>
      <c r="Q49" s="19"/>
    </row>
    <row r="50" spans="1:17" ht="16.5" x14ac:dyDescent="0.3">
      <c r="A50" s="19"/>
      <c r="B50" s="19"/>
      <c r="C50" s="19"/>
      <c r="D50" s="19"/>
      <c r="E50" s="19"/>
      <c r="F50" s="19"/>
      <c r="G50" s="19"/>
      <c r="H50" s="19"/>
      <c r="I50" s="19"/>
      <c r="J50" s="19"/>
      <c r="K50" s="19"/>
      <c r="L50" s="19"/>
      <c r="M50" s="19"/>
      <c r="N50" s="19"/>
      <c r="O50" s="19"/>
      <c r="P50" s="19"/>
      <c r="Q50" s="19"/>
    </row>
    <row r="51" spans="1:17" ht="16.5" x14ac:dyDescent="0.3">
      <c r="A51" s="19"/>
      <c r="B51" s="19"/>
      <c r="C51" s="19"/>
      <c r="D51" s="19"/>
      <c r="E51" s="19"/>
      <c r="F51" s="19"/>
      <c r="G51" s="19"/>
      <c r="H51" s="19"/>
      <c r="I51" s="19"/>
      <c r="J51" s="19"/>
      <c r="K51" s="19"/>
      <c r="L51" s="19"/>
      <c r="M51" s="19"/>
      <c r="N51" s="19"/>
      <c r="O51" s="19"/>
      <c r="P51" s="19"/>
      <c r="Q51" s="19"/>
    </row>
    <row r="52" spans="1:17" ht="16.5" x14ac:dyDescent="0.3">
      <c r="A52" s="19"/>
      <c r="B52" s="19"/>
      <c r="C52" s="19"/>
      <c r="D52" s="19"/>
      <c r="E52" s="19"/>
      <c r="F52" s="19"/>
      <c r="G52" s="19"/>
      <c r="H52" s="19"/>
      <c r="I52" s="19"/>
      <c r="J52" s="19"/>
      <c r="K52" s="19"/>
      <c r="L52" s="19"/>
      <c r="M52" s="19"/>
      <c r="N52" s="19"/>
      <c r="O52" s="19"/>
      <c r="P52" s="19"/>
      <c r="Q52" s="19"/>
    </row>
    <row r="53" spans="1:17" ht="16.5" x14ac:dyDescent="0.3">
      <c r="A53" s="19"/>
      <c r="B53" s="19"/>
      <c r="C53" s="19"/>
      <c r="D53" s="19"/>
      <c r="E53" s="19"/>
      <c r="F53" s="19"/>
      <c r="G53" s="19"/>
      <c r="H53" s="19"/>
      <c r="I53" s="19"/>
      <c r="J53" s="19"/>
      <c r="K53" s="19"/>
      <c r="L53" s="19"/>
      <c r="M53" s="19"/>
      <c r="N53" s="19"/>
      <c r="O53" s="19"/>
      <c r="P53" s="19"/>
      <c r="Q53" s="19"/>
    </row>
    <row r="54" spans="1:17" ht="16.5" x14ac:dyDescent="0.3">
      <c r="A54" s="19"/>
      <c r="B54" s="19"/>
      <c r="C54" s="19"/>
      <c r="D54" s="19"/>
      <c r="E54" s="19"/>
      <c r="F54" s="19"/>
      <c r="G54" s="19"/>
      <c r="H54" s="19"/>
      <c r="I54" s="19"/>
      <c r="J54" s="19"/>
      <c r="K54" s="19"/>
      <c r="L54" s="19"/>
      <c r="M54" s="19"/>
      <c r="N54" s="19"/>
      <c r="O54" s="19"/>
      <c r="P54" s="19"/>
      <c r="Q54" s="19"/>
    </row>
    <row r="55" spans="1:17" ht="16.5" x14ac:dyDescent="0.3">
      <c r="A55" s="19"/>
      <c r="B55" s="19"/>
      <c r="C55" s="19"/>
      <c r="D55" s="19"/>
      <c r="E55" s="19"/>
      <c r="F55" s="19"/>
      <c r="G55" s="19"/>
      <c r="H55" s="19"/>
      <c r="I55" s="19"/>
      <c r="J55" s="19"/>
      <c r="K55" s="19"/>
      <c r="L55" s="19"/>
      <c r="M55" s="19"/>
      <c r="N55" s="19"/>
      <c r="O55" s="19"/>
      <c r="P55" s="19"/>
      <c r="Q55" s="19"/>
    </row>
    <row r="56" spans="1:17" ht="16.5" x14ac:dyDescent="0.3">
      <c r="A56" s="19"/>
      <c r="B56" s="19"/>
      <c r="C56" s="19"/>
      <c r="D56" s="19"/>
      <c r="E56" s="19"/>
      <c r="F56" s="19"/>
      <c r="G56" s="19"/>
      <c r="H56" s="19"/>
      <c r="I56" s="19"/>
      <c r="J56" s="19"/>
      <c r="K56" s="19"/>
      <c r="L56" s="19"/>
      <c r="M56" s="19"/>
      <c r="N56" s="19"/>
      <c r="O56" s="19"/>
      <c r="P56" s="19"/>
      <c r="Q56" s="19"/>
    </row>
    <row r="57" spans="1:17" ht="16.5" x14ac:dyDescent="0.3">
      <c r="A57" s="19"/>
      <c r="B57" s="19"/>
      <c r="C57" s="19"/>
      <c r="D57" s="19"/>
      <c r="E57" s="19"/>
      <c r="F57" s="19"/>
      <c r="G57" s="19"/>
      <c r="H57" s="19"/>
      <c r="I57" s="19"/>
      <c r="J57" s="19"/>
      <c r="K57" s="19"/>
      <c r="L57" s="19"/>
      <c r="M57" s="19"/>
      <c r="N57" s="19"/>
      <c r="O57" s="19"/>
      <c r="P57" s="19"/>
      <c r="Q57" s="19"/>
    </row>
    <row r="58" spans="1:17" ht="16.5" x14ac:dyDescent="0.3">
      <c r="A58" s="19"/>
      <c r="B58" s="19"/>
      <c r="C58" s="19"/>
      <c r="D58" s="19"/>
      <c r="E58" s="19"/>
      <c r="F58" s="19"/>
      <c r="G58" s="19"/>
      <c r="H58" s="19"/>
      <c r="I58" s="19"/>
      <c r="J58" s="19"/>
      <c r="K58" s="19"/>
      <c r="L58" s="19"/>
      <c r="M58" s="19"/>
      <c r="N58" s="19"/>
      <c r="O58" s="19"/>
      <c r="P58" s="19"/>
      <c r="Q58" s="19"/>
    </row>
    <row r="59" spans="1:17" ht="16.5" x14ac:dyDescent="0.3">
      <c r="A59" s="19"/>
      <c r="B59" s="19"/>
      <c r="C59" s="19"/>
      <c r="D59" s="19"/>
      <c r="E59" s="19"/>
      <c r="F59" s="19"/>
      <c r="G59" s="19"/>
      <c r="H59" s="19"/>
      <c r="I59" s="19"/>
      <c r="J59" s="19"/>
      <c r="K59" s="19"/>
      <c r="L59" s="19"/>
      <c r="M59" s="19"/>
      <c r="N59" s="19"/>
      <c r="O59" s="19"/>
      <c r="P59" s="19"/>
      <c r="Q59" s="19"/>
    </row>
    <row r="60" spans="1:17" ht="16.5" x14ac:dyDescent="0.3">
      <c r="A60" s="19"/>
      <c r="B60" s="19"/>
      <c r="C60" s="19"/>
      <c r="D60" s="19"/>
      <c r="E60" s="19"/>
      <c r="F60" s="19"/>
      <c r="G60" s="19"/>
      <c r="H60" s="19"/>
      <c r="I60" s="19"/>
      <c r="J60" s="19"/>
      <c r="K60" s="19"/>
      <c r="L60" s="19"/>
      <c r="M60" s="19"/>
      <c r="N60" s="19"/>
      <c r="O60" s="19"/>
      <c r="P60" s="19"/>
      <c r="Q60" s="19"/>
    </row>
    <row r="61" spans="1:17" ht="16.5" x14ac:dyDescent="0.3">
      <c r="A61" s="19"/>
      <c r="B61" s="19"/>
      <c r="C61" s="19"/>
      <c r="D61" s="19"/>
      <c r="E61" s="19"/>
      <c r="F61" s="19"/>
      <c r="G61" s="19"/>
      <c r="H61" s="19"/>
      <c r="I61" s="19"/>
      <c r="J61" s="19"/>
      <c r="K61" s="19"/>
      <c r="L61" s="19"/>
      <c r="M61" s="19"/>
      <c r="N61" s="19"/>
      <c r="O61" s="19"/>
      <c r="P61" s="19"/>
      <c r="Q61" s="19"/>
    </row>
    <row r="62" spans="1:17" ht="16.5" x14ac:dyDescent="0.3">
      <c r="A62" s="19"/>
      <c r="B62" s="19"/>
      <c r="C62" s="19"/>
      <c r="D62" s="19"/>
      <c r="E62" s="19"/>
      <c r="F62" s="19"/>
      <c r="G62" s="19"/>
      <c r="H62" s="19"/>
      <c r="I62" s="19"/>
      <c r="J62" s="19"/>
      <c r="K62" s="19"/>
      <c r="L62" s="19"/>
      <c r="M62" s="19"/>
      <c r="N62" s="19"/>
      <c r="O62" s="19"/>
      <c r="P62" s="19"/>
      <c r="Q62" s="19"/>
    </row>
    <row r="63" spans="1:17" ht="16.5" x14ac:dyDescent="0.3">
      <c r="A63" s="19"/>
      <c r="B63" s="19"/>
      <c r="C63" s="19"/>
      <c r="D63" s="19"/>
      <c r="E63" s="19"/>
      <c r="F63" s="19"/>
      <c r="G63" s="19"/>
      <c r="H63" s="19"/>
      <c r="I63" s="19"/>
      <c r="J63" s="19"/>
      <c r="K63" s="19"/>
      <c r="L63" s="19"/>
      <c r="M63" s="19"/>
      <c r="N63" s="19"/>
      <c r="O63" s="19"/>
      <c r="P63" s="19"/>
      <c r="Q63" s="19"/>
    </row>
    <row r="64" spans="1:17" ht="16.5" x14ac:dyDescent="0.3">
      <c r="A64" s="19"/>
      <c r="B64" s="19"/>
      <c r="C64" s="19"/>
      <c r="D64" s="19"/>
      <c r="E64" s="19"/>
      <c r="F64" s="19"/>
      <c r="G64" s="19"/>
      <c r="H64" s="19"/>
      <c r="I64" s="19"/>
      <c r="J64" s="19"/>
      <c r="K64" s="19"/>
      <c r="L64" s="19"/>
      <c r="M64" s="19"/>
      <c r="N64" s="19"/>
      <c r="O64" s="19"/>
      <c r="P64" s="19"/>
      <c r="Q64" s="19"/>
    </row>
    <row r="65" spans="1:17" ht="16.5" x14ac:dyDescent="0.3">
      <c r="A65" s="19"/>
      <c r="B65" s="19"/>
      <c r="C65" s="19"/>
      <c r="D65" s="19"/>
      <c r="E65" s="19"/>
      <c r="F65" s="19"/>
      <c r="G65" s="19"/>
      <c r="H65" s="19"/>
      <c r="I65" s="19"/>
      <c r="J65" s="19"/>
      <c r="K65" s="19"/>
      <c r="L65" s="19"/>
      <c r="M65" s="19"/>
      <c r="N65" s="19"/>
      <c r="O65" s="19"/>
      <c r="P65" s="19"/>
      <c r="Q65" s="19"/>
    </row>
    <row r="66" spans="1:17" ht="16.5" x14ac:dyDescent="0.3">
      <c r="A66" s="19"/>
      <c r="B66" s="19"/>
      <c r="C66" s="19"/>
      <c r="D66" s="19"/>
      <c r="E66" s="19"/>
      <c r="F66" s="19"/>
      <c r="G66" s="19"/>
      <c r="H66" s="19"/>
      <c r="I66" s="19"/>
      <c r="J66" s="19"/>
      <c r="K66" s="19"/>
      <c r="L66" s="19"/>
      <c r="M66" s="19"/>
      <c r="N66" s="19"/>
      <c r="O66" s="19"/>
      <c r="P66" s="19"/>
      <c r="Q66" s="19"/>
    </row>
    <row r="67" spans="1:17" ht="16.5" x14ac:dyDescent="0.3">
      <c r="A67" s="19"/>
      <c r="B67" s="19"/>
      <c r="C67" s="19"/>
      <c r="D67" s="19"/>
      <c r="E67" s="19"/>
      <c r="F67" s="19"/>
      <c r="G67" s="19"/>
      <c r="H67" s="19"/>
      <c r="I67" s="19"/>
      <c r="J67" s="19"/>
      <c r="K67" s="19"/>
      <c r="L67" s="19"/>
      <c r="M67" s="19"/>
      <c r="N67" s="19"/>
      <c r="O67" s="19"/>
      <c r="P67" s="19"/>
      <c r="Q67" s="19"/>
    </row>
    <row r="68" spans="1:17" ht="16.5" x14ac:dyDescent="0.3">
      <c r="A68" s="19"/>
      <c r="B68" s="19"/>
      <c r="C68" s="19"/>
      <c r="D68" s="19"/>
      <c r="E68" s="19"/>
      <c r="F68" s="19"/>
      <c r="G68" s="19"/>
      <c r="H68" s="19"/>
      <c r="I68" s="19"/>
      <c r="J68" s="19"/>
      <c r="K68" s="19"/>
      <c r="L68" s="19"/>
      <c r="M68" s="19"/>
      <c r="N68" s="19"/>
      <c r="O68" s="19"/>
      <c r="P68" s="19"/>
      <c r="Q68" s="19"/>
    </row>
    <row r="69" spans="1:17" ht="16.5" x14ac:dyDescent="0.3">
      <c r="A69" s="19"/>
      <c r="B69" s="19"/>
      <c r="C69" s="19"/>
      <c r="D69" s="19"/>
      <c r="E69" s="19"/>
      <c r="F69" s="19"/>
      <c r="G69" s="19"/>
      <c r="H69" s="19"/>
      <c r="I69" s="19"/>
      <c r="J69" s="19"/>
      <c r="K69" s="19"/>
      <c r="L69" s="19"/>
      <c r="M69" s="19"/>
      <c r="N69" s="19"/>
      <c r="O69" s="19"/>
      <c r="P69" s="19"/>
      <c r="Q69" s="19"/>
    </row>
    <row r="70" spans="1:17" ht="16.5" x14ac:dyDescent="0.3">
      <c r="A70" s="19"/>
      <c r="B70" s="19"/>
      <c r="C70" s="19"/>
      <c r="D70" s="19"/>
      <c r="E70" s="19"/>
      <c r="F70" s="19"/>
      <c r="G70" s="19"/>
      <c r="H70" s="19"/>
      <c r="I70" s="19"/>
      <c r="J70" s="19"/>
      <c r="K70" s="19"/>
      <c r="L70" s="19"/>
      <c r="M70" s="19"/>
      <c r="N70" s="19"/>
      <c r="O70" s="19"/>
      <c r="P70" s="19"/>
      <c r="Q70" s="19"/>
    </row>
    <row r="71" spans="1:17" ht="16.5" x14ac:dyDescent="0.3">
      <c r="A71" s="19"/>
      <c r="B71" s="19"/>
      <c r="C71" s="19"/>
      <c r="D71" s="19"/>
      <c r="E71" s="19"/>
      <c r="F71" s="19"/>
      <c r="G71" s="19"/>
      <c r="H71" s="19"/>
      <c r="I71" s="19"/>
      <c r="J71" s="19"/>
      <c r="K71" s="19"/>
      <c r="L71" s="19"/>
      <c r="M71" s="19"/>
      <c r="N71" s="19"/>
      <c r="O71" s="19"/>
      <c r="P71" s="19"/>
      <c r="Q71" s="19"/>
    </row>
    <row r="72" spans="1:17" ht="16.5" x14ac:dyDescent="0.3">
      <c r="A72" s="19"/>
      <c r="B72" s="19"/>
      <c r="C72" s="19"/>
      <c r="D72" s="19"/>
      <c r="E72" s="19"/>
      <c r="F72" s="19"/>
      <c r="G72" s="19"/>
      <c r="H72" s="19"/>
      <c r="I72" s="19"/>
      <c r="J72" s="19"/>
      <c r="K72" s="19"/>
      <c r="L72" s="19"/>
      <c r="M72" s="19"/>
      <c r="N72" s="19"/>
      <c r="O72" s="19"/>
      <c r="P72" s="19"/>
      <c r="Q72" s="19"/>
    </row>
    <row r="73" spans="1:17" ht="16.5" x14ac:dyDescent="0.3">
      <c r="A73" s="19"/>
      <c r="B73" s="19"/>
      <c r="C73" s="19"/>
      <c r="D73" s="19"/>
      <c r="E73" s="19"/>
      <c r="F73" s="19"/>
      <c r="G73" s="19"/>
      <c r="H73" s="19"/>
      <c r="I73" s="19"/>
      <c r="J73" s="19"/>
      <c r="K73" s="19"/>
      <c r="L73" s="19"/>
      <c r="M73" s="19"/>
      <c r="N73" s="19"/>
      <c r="O73" s="19"/>
      <c r="P73" s="19"/>
      <c r="Q73" s="19"/>
    </row>
    <row r="74" spans="1:17" ht="16.5" x14ac:dyDescent="0.3">
      <c r="A74" s="19"/>
      <c r="B74" s="19"/>
      <c r="C74" s="19"/>
      <c r="D74" s="19"/>
      <c r="E74" s="19"/>
      <c r="F74" s="19"/>
      <c r="G74" s="19"/>
      <c r="H74" s="19"/>
      <c r="I74" s="19"/>
      <c r="J74" s="19"/>
      <c r="K74" s="19"/>
      <c r="L74" s="19"/>
      <c r="M74" s="19"/>
      <c r="N74" s="19"/>
      <c r="O74" s="19"/>
      <c r="P74" s="19"/>
      <c r="Q74" s="19"/>
    </row>
    <row r="75" spans="1:17" ht="16.5" x14ac:dyDescent="0.3">
      <c r="A75" s="19"/>
      <c r="B75" s="19"/>
      <c r="C75" s="19"/>
      <c r="D75" s="19"/>
      <c r="E75" s="19"/>
      <c r="F75" s="19"/>
      <c r="G75" s="19"/>
      <c r="H75" s="19"/>
      <c r="I75" s="19"/>
      <c r="J75" s="19"/>
      <c r="K75" s="19"/>
      <c r="L75" s="19"/>
      <c r="M75" s="19"/>
      <c r="N75" s="19"/>
      <c r="O75" s="19"/>
      <c r="P75" s="19"/>
      <c r="Q75" s="19"/>
    </row>
    <row r="76" spans="1:17" ht="16.5" x14ac:dyDescent="0.3">
      <c r="A76" s="19"/>
      <c r="B76" s="19"/>
      <c r="C76" s="19"/>
      <c r="D76" s="19"/>
      <c r="E76" s="19"/>
      <c r="F76" s="19"/>
      <c r="G76" s="19"/>
      <c r="H76" s="19"/>
      <c r="I76" s="19"/>
      <c r="J76" s="19"/>
      <c r="K76" s="19"/>
      <c r="L76" s="19"/>
      <c r="M76" s="19"/>
      <c r="N76" s="19"/>
      <c r="O76" s="19"/>
      <c r="P76" s="19"/>
      <c r="Q76" s="19"/>
    </row>
    <row r="77" spans="1:17" ht="16.5" x14ac:dyDescent="0.3">
      <c r="A77" s="19"/>
      <c r="B77" s="19"/>
      <c r="C77" s="19"/>
      <c r="D77" s="19"/>
      <c r="E77" s="19"/>
      <c r="F77" s="19"/>
      <c r="G77" s="19"/>
      <c r="H77" s="19"/>
      <c r="I77" s="19"/>
      <c r="J77" s="19"/>
      <c r="K77" s="19"/>
      <c r="L77" s="19"/>
      <c r="M77" s="19"/>
      <c r="N77" s="19"/>
      <c r="O77" s="19"/>
      <c r="P77" s="19"/>
      <c r="Q77" s="19"/>
    </row>
    <row r="78" spans="1:17" ht="16.5" x14ac:dyDescent="0.3">
      <c r="A78" s="19"/>
      <c r="B78" s="19"/>
      <c r="C78" s="19"/>
      <c r="D78" s="19"/>
      <c r="E78" s="19"/>
      <c r="F78" s="19"/>
      <c r="G78" s="19"/>
      <c r="H78" s="19"/>
      <c r="I78" s="19"/>
      <c r="J78" s="19"/>
      <c r="K78" s="19"/>
      <c r="L78" s="19"/>
      <c r="M78" s="19"/>
      <c r="N78" s="19"/>
      <c r="O78" s="19"/>
      <c r="P78" s="19"/>
      <c r="Q78" s="19"/>
    </row>
  </sheetData>
  <mergeCells count="10">
    <mergeCell ref="A38:Q39"/>
    <mergeCell ref="A1:Q1"/>
    <mergeCell ref="O35:Q35"/>
    <mergeCell ref="A5:Q5"/>
    <mergeCell ref="A25:B25"/>
    <mergeCell ref="K35:M35"/>
    <mergeCell ref="A31:B31"/>
    <mergeCell ref="A32:B32"/>
    <mergeCell ref="A29:M29"/>
    <mergeCell ref="A30:B30"/>
  </mergeCells>
  <hyperlinks>
    <hyperlink ref="I26" location="'Next Steps'!A1" display="&quot;Next Steps&quot; Tab for your next step options."/>
    <hyperlink ref="B35" r:id="rId1"/>
  </hyperlinks>
  <pageMargins left="0.7" right="0.7" top="0.75" bottom="0.56666666666666665" header="0.3" footer="0.3"/>
  <pageSetup scale="80" orientation="landscape" r:id="rId2"/>
  <headerFooter>
    <oddFooter>&amp;C&amp;"Arial Narrow,Regular"&amp;K00-024DWSD Drainage Credit Calculator- Draft</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P11"/>
  <sheetViews>
    <sheetView showGridLines="0" zoomScaleNormal="100" zoomScalePageLayoutView="90" workbookViewId="0">
      <selection activeCell="J20" sqref="J20"/>
    </sheetView>
  </sheetViews>
  <sheetFormatPr defaultRowHeight="15" x14ac:dyDescent="0.25"/>
  <sheetData>
    <row r="1" spans="1:16" ht="20.25" thickBot="1" x14ac:dyDescent="0.35">
      <c r="A1" s="2" t="s">
        <v>79</v>
      </c>
      <c r="B1" s="2"/>
      <c r="C1" s="2"/>
      <c r="D1" s="2"/>
      <c r="E1" s="2"/>
      <c r="F1" s="2"/>
      <c r="G1" s="2"/>
      <c r="H1" s="2"/>
      <c r="I1" s="2"/>
      <c r="J1" s="2"/>
      <c r="K1" s="2"/>
      <c r="L1" s="2"/>
      <c r="M1" s="2"/>
    </row>
    <row r="2" spans="1:16" s="160" customFormat="1" ht="16.149999999999999" customHeight="1" thickTop="1" x14ac:dyDescent="0.25">
      <c r="A2" s="268" t="s">
        <v>167</v>
      </c>
      <c r="B2" s="268"/>
      <c r="C2" s="268"/>
      <c r="D2" s="268"/>
      <c r="E2" s="268"/>
      <c r="F2" s="268"/>
      <c r="G2" s="268"/>
      <c r="H2" s="268"/>
      <c r="I2" s="268"/>
      <c r="J2" s="268"/>
      <c r="K2" s="268"/>
    </row>
    <row r="3" spans="1:16" s="160" customFormat="1" x14ac:dyDescent="0.25">
      <c r="A3" s="269"/>
      <c r="B3" s="269"/>
      <c r="C3" s="269"/>
      <c r="D3" s="269"/>
      <c r="E3" s="269"/>
      <c r="F3" s="269"/>
      <c r="G3" s="269"/>
      <c r="H3" s="269"/>
      <c r="I3" s="269"/>
      <c r="J3" s="269"/>
      <c r="K3" s="269"/>
    </row>
    <row r="4" spans="1:16" s="160" customFormat="1" x14ac:dyDescent="0.25">
      <c r="A4" s="269"/>
      <c r="B4" s="269"/>
      <c r="C4" s="269"/>
      <c r="D4" s="269"/>
      <c r="E4" s="269"/>
      <c r="F4" s="269"/>
      <c r="G4" s="269"/>
      <c r="H4" s="269"/>
      <c r="I4" s="269"/>
      <c r="J4" s="269"/>
      <c r="K4" s="269"/>
    </row>
    <row r="5" spans="1:16" s="160" customFormat="1" ht="15.75" x14ac:dyDescent="0.25">
      <c r="A5" s="161"/>
      <c r="B5" s="161"/>
      <c r="C5" s="161"/>
      <c r="D5" s="161"/>
      <c r="E5" s="161"/>
      <c r="F5" s="161"/>
      <c r="G5" s="161"/>
      <c r="H5" s="161"/>
      <c r="I5" s="161"/>
      <c r="J5" s="161"/>
      <c r="K5" s="161"/>
    </row>
    <row r="6" spans="1:16" ht="16.5" x14ac:dyDescent="0.3">
      <c r="A6" s="26" t="s">
        <v>28</v>
      </c>
      <c r="B6" s="26"/>
      <c r="C6" s="26"/>
      <c r="D6" s="26"/>
      <c r="E6" s="18"/>
      <c r="F6" s="19"/>
      <c r="G6" s="19"/>
      <c r="H6" s="19"/>
      <c r="I6" s="19"/>
    </row>
    <row r="7" spans="1:16" ht="16.5" x14ac:dyDescent="0.3">
      <c r="A7" s="18" t="s">
        <v>29</v>
      </c>
      <c r="B7" s="41" t="s">
        <v>30</v>
      </c>
      <c r="C7" s="18"/>
      <c r="E7" s="18" t="s">
        <v>31</v>
      </c>
      <c r="F7" s="18" t="s">
        <v>124</v>
      </c>
      <c r="G7" s="19"/>
      <c r="H7" s="19"/>
      <c r="I7" s="19"/>
    </row>
    <row r="9" spans="1:16" ht="18" thickBot="1" x14ac:dyDescent="0.35">
      <c r="A9" s="144" t="s">
        <v>83</v>
      </c>
      <c r="B9" s="145"/>
      <c r="C9" s="145"/>
      <c r="D9" s="146"/>
      <c r="E9" s="145"/>
      <c r="F9" s="145"/>
      <c r="G9" s="145"/>
      <c r="H9" s="145"/>
      <c r="I9" s="147"/>
      <c r="J9" s="147"/>
      <c r="K9" s="147"/>
      <c r="L9" s="147"/>
      <c r="M9" s="147"/>
      <c r="N9" s="84"/>
      <c r="O9" s="84"/>
      <c r="P9" s="84"/>
    </row>
    <row r="10" spans="1:16" ht="15" customHeight="1" thickTop="1" x14ac:dyDescent="0.25">
      <c r="A10" s="270" t="s">
        <v>137</v>
      </c>
      <c r="B10" s="270"/>
      <c r="C10" s="270"/>
      <c r="D10" s="270"/>
      <c r="E10" s="270"/>
      <c r="F10" s="270"/>
      <c r="G10" s="270"/>
      <c r="H10" s="270"/>
      <c r="I10" s="270"/>
      <c r="J10" s="270"/>
      <c r="K10" s="270"/>
      <c r="L10" s="270"/>
      <c r="M10" s="270"/>
      <c r="N10" s="28"/>
      <c r="O10" s="28"/>
      <c r="P10" s="28"/>
    </row>
    <row r="11" spans="1:16" ht="14.45" customHeight="1" x14ac:dyDescent="0.25">
      <c r="A11" s="269"/>
      <c r="B11" s="269"/>
      <c r="C11" s="269"/>
      <c r="D11" s="269"/>
      <c r="E11" s="269"/>
      <c r="F11" s="269"/>
      <c r="G11" s="269"/>
      <c r="H11" s="269"/>
      <c r="I11" s="269"/>
      <c r="J11" s="269"/>
      <c r="K11" s="269"/>
      <c r="L11" s="269"/>
      <c r="M11" s="269"/>
      <c r="N11" s="28"/>
      <c r="O11" s="28"/>
      <c r="P11" s="28"/>
    </row>
  </sheetData>
  <mergeCells count="2">
    <mergeCell ref="A2:K4"/>
    <mergeCell ref="A10:M11"/>
  </mergeCells>
  <hyperlinks>
    <hyperlink ref="B7" r:id="rId1"/>
  </hyperlinks>
  <pageMargins left="0.7" right="0.7" top="0.75" bottom="0.75" header="0.3" footer="0.3"/>
  <pageSetup paperSize="303" scale="65" orientation="landscape"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4"/>
  <sheetViews>
    <sheetView showGridLines="0" topLeftCell="A4" zoomScaleNormal="100" workbookViewId="0">
      <selection activeCell="A30" sqref="A30"/>
    </sheetView>
  </sheetViews>
  <sheetFormatPr defaultRowHeight="15" x14ac:dyDescent="0.25"/>
  <cols>
    <col min="12" max="12" width="2.5703125" customWidth="1"/>
  </cols>
  <sheetData>
    <row r="1" spans="1:12" ht="16.5" thickBot="1" x14ac:dyDescent="0.3">
      <c r="A1" s="33" t="s">
        <v>83</v>
      </c>
      <c r="B1" s="33"/>
      <c r="C1" s="33"/>
      <c r="D1" s="33"/>
      <c r="E1" s="33"/>
      <c r="F1" s="33"/>
      <c r="G1" s="33"/>
      <c r="H1" s="33"/>
      <c r="I1" s="33"/>
      <c r="J1" s="33"/>
      <c r="K1" s="33"/>
      <c r="L1" s="33"/>
    </row>
    <row r="2" spans="1:12" ht="15" customHeight="1" thickTop="1" x14ac:dyDescent="0.25">
      <c r="A2" s="271" t="s">
        <v>138</v>
      </c>
      <c r="B2" s="271"/>
      <c r="C2" s="271"/>
      <c r="D2" s="271"/>
      <c r="E2" s="271"/>
      <c r="F2" s="271"/>
      <c r="G2" s="271"/>
      <c r="H2" s="271"/>
      <c r="I2" s="271"/>
      <c r="J2" s="271"/>
      <c r="K2" s="271"/>
      <c r="L2" s="271"/>
    </row>
    <row r="3" spans="1:12" ht="14.45" customHeight="1" x14ac:dyDescent="0.25">
      <c r="A3" s="272"/>
      <c r="B3" s="272"/>
      <c r="C3" s="272"/>
      <c r="D3" s="272"/>
      <c r="E3" s="272"/>
      <c r="F3" s="272"/>
      <c r="G3" s="272"/>
      <c r="H3" s="272"/>
      <c r="I3" s="272"/>
      <c r="J3" s="272"/>
      <c r="K3" s="272"/>
      <c r="L3" s="272"/>
    </row>
    <row r="4" spans="1:12" ht="15.6" customHeight="1" x14ac:dyDescent="0.25">
      <c r="A4" s="272"/>
      <c r="B4" s="272"/>
      <c r="C4" s="272"/>
      <c r="D4" s="272"/>
      <c r="E4" s="272"/>
      <c r="F4" s="272"/>
      <c r="G4" s="272"/>
      <c r="H4" s="272"/>
      <c r="I4" s="272"/>
      <c r="J4" s="272"/>
      <c r="K4" s="272"/>
      <c r="L4" s="272"/>
    </row>
  </sheetData>
  <mergeCells count="1">
    <mergeCell ref="A2:L4"/>
  </mergeCells>
  <pageMargins left="0.7" right="0.7" top="0.75" bottom="0.75" header="0.3" footer="0.3"/>
  <pageSetup scale="80" orientation="landscape" r:id="rId1"/>
  <headerFooter>
    <oddFooter>&amp;C&amp;K00-020DWSD Drainage Credit Calculator- Draft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workbookViewId="0">
      <selection activeCell="D15" sqref="D15"/>
    </sheetView>
  </sheetViews>
  <sheetFormatPr defaultRowHeight="15" x14ac:dyDescent="0.25"/>
  <cols>
    <col min="1" max="1" width="16.140625" customWidth="1"/>
    <col min="2" max="2" width="10.42578125" customWidth="1"/>
    <col min="3" max="3" width="14.140625" customWidth="1"/>
    <col min="4" max="4" width="10.85546875" customWidth="1"/>
    <col min="7" max="7" width="14.28515625" customWidth="1"/>
    <col min="18" max="18" width="11.42578125" customWidth="1"/>
  </cols>
  <sheetData>
    <row r="1" spans="1:18" s="5" customFormat="1" ht="23.45" customHeight="1" x14ac:dyDescent="0.35">
      <c r="A1" s="7" t="s">
        <v>98</v>
      </c>
      <c r="B1" s="54"/>
      <c r="C1" s="54"/>
      <c r="D1" s="54"/>
      <c r="E1" s="54"/>
      <c r="F1" s="54"/>
      <c r="G1" s="54"/>
      <c r="H1" s="54"/>
      <c r="Q1" s="6"/>
      <c r="R1" s="6"/>
    </row>
    <row r="2" spans="1:18" s="5" customFormat="1" ht="16.149999999999999" customHeight="1" x14ac:dyDescent="0.25">
      <c r="A2" s="55" t="s">
        <v>99</v>
      </c>
      <c r="Q2" s="6"/>
      <c r="R2" s="6"/>
    </row>
    <row r="3" spans="1:18" s="5" customFormat="1" ht="14.45" customHeight="1" x14ac:dyDescent="0.35">
      <c r="A3" s="7"/>
      <c r="Q3" s="6"/>
      <c r="R3" s="6"/>
    </row>
    <row r="4" spans="1:18" x14ac:dyDescent="0.25">
      <c r="A4" s="8" t="s">
        <v>17</v>
      </c>
      <c r="H4" t="s">
        <v>18</v>
      </c>
      <c r="J4" s="4"/>
      <c r="M4" s="9"/>
      <c r="N4" s="9"/>
      <c r="O4" s="9"/>
      <c r="P4" s="9"/>
      <c r="Q4" s="273"/>
      <c r="R4" s="273"/>
    </row>
    <row r="5" spans="1:18" x14ac:dyDescent="0.25">
      <c r="A5" t="s">
        <v>19</v>
      </c>
      <c r="H5">
        <v>0.2</v>
      </c>
      <c r="Q5" s="274"/>
      <c r="R5" s="274"/>
    </row>
    <row r="6" spans="1:18" x14ac:dyDescent="0.25">
      <c r="A6" t="s">
        <v>21</v>
      </c>
      <c r="H6">
        <v>0.4</v>
      </c>
      <c r="Q6" s="3"/>
      <c r="R6" s="3"/>
    </row>
    <row r="7" spans="1:18" x14ac:dyDescent="0.25">
      <c r="A7" t="s">
        <v>22</v>
      </c>
      <c r="H7">
        <v>0.5</v>
      </c>
      <c r="Q7" s="3"/>
      <c r="R7" s="3"/>
    </row>
    <row r="8" spans="1:18" x14ac:dyDescent="0.25">
      <c r="A8" t="s">
        <v>23</v>
      </c>
      <c r="H8">
        <v>0.6</v>
      </c>
      <c r="Q8" s="3"/>
      <c r="R8" s="3"/>
    </row>
    <row r="9" spans="1:18" ht="14.45" customHeight="1" x14ac:dyDescent="0.25">
      <c r="A9" t="s">
        <v>20</v>
      </c>
      <c r="H9">
        <v>0.8</v>
      </c>
      <c r="Q9" s="3"/>
      <c r="R9" s="3"/>
    </row>
    <row r="10" spans="1:18" x14ac:dyDescent="0.25">
      <c r="A10" t="s">
        <v>24</v>
      </c>
      <c r="H10">
        <v>0.9</v>
      </c>
      <c r="Q10" s="3"/>
      <c r="R10" s="3"/>
    </row>
    <row r="11" spans="1:18" x14ac:dyDescent="0.25">
      <c r="H11" s="10" t="s">
        <v>25</v>
      </c>
      <c r="Q11" s="3"/>
      <c r="R11" s="3"/>
    </row>
    <row r="12" spans="1:18" x14ac:dyDescent="0.25">
      <c r="Q12" s="3"/>
      <c r="R12" s="3"/>
    </row>
    <row r="13" spans="1:18" x14ac:dyDescent="0.25">
      <c r="Q13" s="3"/>
      <c r="R13" s="3"/>
    </row>
    <row r="14" spans="1:18" x14ac:dyDescent="0.25">
      <c r="A14" s="8"/>
      <c r="D14" t="s">
        <v>212</v>
      </c>
      <c r="Q14" s="3"/>
      <c r="R14" s="3"/>
    </row>
    <row r="15" spans="1:18" x14ac:dyDescent="0.25">
      <c r="A15" t="s">
        <v>6</v>
      </c>
      <c r="D15" t="s">
        <v>213</v>
      </c>
      <c r="Q15" s="3"/>
      <c r="R15" s="3"/>
    </row>
    <row r="16" spans="1:18" x14ac:dyDescent="0.25">
      <c r="A16" t="s">
        <v>26</v>
      </c>
      <c r="Q16" s="3"/>
      <c r="R16" s="3"/>
    </row>
    <row r="17" spans="1:18" x14ac:dyDescent="0.25">
      <c r="Q17" s="3"/>
      <c r="R17" s="3"/>
    </row>
    <row r="18" spans="1:18" x14ac:dyDescent="0.25">
      <c r="B18" s="193"/>
      <c r="C18" s="193"/>
      <c r="D18" s="15"/>
      <c r="E18" s="15"/>
      <c r="Q18" s="3"/>
      <c r="R18" s="3"/>
    </row>
    <row r="19" spans="1:18" ht="15.6" customHeight="1" x14ac:dyDescent="0.25">
      <c r="D19" s="15"/>
      <c r="E19" s="15"/>
      <c r="Q19" s="3"/>
      <c r="R19" s="3"/>
    </row>
    <row r="20" spans="1:18" x14ac:dyDescent="0.25">
      <c r="Q20" s="3"/>
      <c r="R20" s="3"/>
    </row>
    <row r="21" spans="1:18" x14ac:dyDescent="0.25">
      <c r="Q21" s="3"/>
      <c r="R21" s="3"/>
    </row>
    <row r="22" spans="1:18" x14ac:dyDescent="0.25">
      <c r="Q22" s="3"/>
      <c r="R22" s="3"/>
    </row>
    <row r="23" spans="1:18" x14ac:dyDescent="0.25">
      <c r="Q23" s="3"/>
      <c r="R23" s="3"/>
    </row>
    <row r="24" spans="1:18" x14ac:dyDescent="0.25">
      <c r="Q24" s="3"/>
      <c r="R24" s="3"/>
    </row>
    <row r="25" spans="1:18" x14ac:dyDescent="0.25">
      <c r="M25" s="10"/>
      <c r="Q25" s="3"/>
      <c r="R25" s="3"/>
    </row>
    <row r="32" spans="1:18" x14ac:dyDescent="0.25">
      <c r="A32" s="11"/>
      <c r="B32" s="9"/>
      <c r="C32" s="12"/>
      <c r="D32" s="12"/>
    </row>
    <row r="33" spans="2:4" x14ac:dyDescent="0.25">
      <c r="B33" s="13"/>
      <c r="C33" s="14"/>
      <c r="D33" s="14"/>
    </row>
    <row r="34" spans="2:4" x14ac:dyDescent="0.25">
      <c r="B34" s="13"/>
      <c r="C34" s="14"/>
      <c r="D34" s="14"/>
    </row>
    <row r="35" spans="2:4" x14ac:dyDescent="0.25">
      <c r="B35" s="13"/>
      <c r="C35" s="14"/>
      <c r="D35" s="14"/>
    </row>
    <row r="36" spans="2:4" x14ac:dyDescent="0.25">
      <c r="B36" s="13"/>
      <c r="C36" s="14"/>
      <c r="D36" s="14"/>
    </row>
    <row r="37" spans="2:4" x14ac:dyDescent="0.25">
      <c r="B37" s="13"/>
      <c r="C37" s="14"/>
      <c r="D37" s="14"/>
    </row>
    <row r="38" spans="2:4" x14ac:dyDescent="0.25">
      <c r="B38" s="13"/>
      <c r="C38" s="14"/>
      <c r="D38" s="14"/>
    </row>
    <row r="39" spans="2:4" x14ac:dyDescent="0.25">
      <c r="B39" s="13"/>
      <c r="C39" s="14"/>
      <c r="D39" s="14"/>
    </row>
    <row r="40" spans="2:4" x14ac:dyDescent="0.25">
      <c r="B40" s="13"/>
      <c r="C40" s="14"/>
      <c r="D40" s="14"/>
    </row>
    <row r="41" spans="2:4" x14ac:dyDescent="0.25">
      <c r="B41" s="13"/>
      <c r="C41" s="14"/>
      <c r="D41" s="14"/>
    </row>
  </sheetData>
  <mergeCells count="3">
    <mergeCell ref="Q4:R4"/>
    <mergeCell ref="Q5:R5"/>
    <mergeCell ref="B18:C18"/>
  </mergeCells>
  <conditionalFormatting sqref="C42:D42">
    <cfRule type="cellIs" dxfId="1" priority="1" operator="equal">
      <formula>"No"</formula>
    </cfRule>
    <cfRule type="cellIs" dxfId="0" priority="2" operator="equal">
      <formula>"YES"</formula>
    </cfRule>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1"/>
  <sheetViews>
    <sheetView workbookViewId="0">
      <selection activeCell="F9" sqref="F9"/>
    </sheetView>
  </sheetViews>
  <sheetFormatPr defaultRowHeight="15" x14ac:dyDescent="0.25"/>
  <cols>
    <col min="1" max="2" width="16.28515625" customWidth="1"/>
    <col min="3" max="3" width="17.85546875" customWidth="1"/>
    <col min="4" max="4" width="17.85546875" style="125" customWidth="1"/>
    <col min="5" max="5" width="16.28515625" customWidth="1"/>
    <col min="6" max="6" width="23.28515625" customWidth="1"/>
    <col min="7" max="7" width="25.7109375" customWidth="1"/>
  </cols>
  <sheetData>
    <row r="1" spans="1:9" x14ac:dyDescent="0.25">
      <c r="A1" s="275" t="s">
        <v>95</v>
      </c>
      <c r="B1" s="275"/>
      <c r="C1" s="275"/>
      <c r="D1" s="275"/>
      <c r="E1" s="275"/>
      <c r="F1" s="275"/>
      <c r="G1" s="275"/>
      <c r="H1" s="275"/>
      <c r="I1" s="275"/>
    </row>
    <row r="2" spans="1:9" x14ac:dyDescent="0.25">
      <c r="A2" t="s">
        <v>27</v>
      </c>
      <c r="B2" t="s">
        <v>51</v>
      </c>
      <c r="C2" t="s">
        <v>50</v>
      </c>
      <c r="D2" s="125" t="s">
        <v>129</v>
      </c>
      <c r="E2" t="s">
        <v>130</v>
      </c>
      <c r="F2" t="s">
        <v>49</v>
      </c>
      <c r="G2" t="s">
        <v>48</v>
      </c>
      <c r="H2" t="s">
        <v>47</v>
      </c>
      <c r="I2" t="s">
        <v>94</v>
      </c>
    </row>
    <row r="3" spans="1:9" x14ac:dyDescent="0.25">
      <c r="A3">
        <f>'Credit Calculator '!A17</f>
        <v>1</v>
      </c>
      <c r="B3" t="e">
        <f>#REF!+#REF!</f>
        <v>#REF!</v>
      </c>
      <c r="C3">
        <v>1</v>
      </c>
      <c r="D3" s="125">
        <f>ROUND(21.352*(0.15/C3)^-0.998,1)</f>
        <v>141.80000000000001</v>
      </c>
      <c r="E3">
        <f>ROUND(49.988*(0.15/C3)^-0.984,1)</f>
        <v>323.3</v>
      </c>
      <c r="F3">
        <f>ROUND((38.0708*(2^0.2081))/((12.1177+$D3)^0.8395),2)</f>
        <v>0.64</v>
      </c>
      <c r="G3">
        <f>ROUND((38.0708*(100^0.2081))/((12.1177+$E3)^0.8395),2)</f>
        <v>0.75</v>
      </c>
      <c r="H3" t="e">
        <f>ROUND((60.5*D3*C3*B3*F3-(60*E3*0.15*B3)),2)</f>
        <v>#REF!</v>
      </c>
      <c r="I3" t="e">
        <f>ROUND(60.5*E3*C3*B3*G3-(60*E3*0.15*B3),2)</f>
        <v>#REF!</v>
      </c>
    </row>
    <row r="4" spans="1:9" x14ac:dyDescent="0.25">
      <c r="A4">
        <f>'Credit Calculator '!A18</f>
        <v>2</v>
      </c>
      <c r="B4" s="47" t="e">
        <f>#REF!+#REF!</f>
        <v>#REF!</v>
      </c>
      <c r="C4" s="47">
        <v>1</v>
      </c>
      <c r="D4" s="125">
        <f t="shared" ref="D4:D7" si="0">ROUND(21.352*(0.15/C4)^-0.998,1)</f>
        <v>141.80000000000001</v>
      </c>
      <c r="E4" s="125">
        <f t="shared" ref="E4:E7" si="1">ROUND(49.988*(0.15/C4)^-0.984,1)</f>
        <v>323.3</v>
      </c>
      <c r="F4" s="125">
        <f t="shared" ref="F4:F7" si="2">ROUND((38.0708*(2^0.2081))/((12.1177+$D4)^0.8395),2)</f>
        <v>0.64</v>
      </c>
      <c r="G4" s="125">
        <f t="shared" ref="G4:G7" si="3">ROUND((38.0708*(100^0.2081))/((12.1177+$E4)^0.8395),2)</f>
        <v>0.75</v>
      </c>
      <c r="H4" s="125" t="e">
        <f t="shared" ref="H4:H7" si="4">ROUND((60.5*D4*C4*B4*F4-(60*E4*0.15*B4)),2)</f>
        <v>#REF!</v>
      </c>
      <c r="I4" s="125" t="e">
        <f t="shared" ref="I4:I7" si="5">ROUND(60.5*E4*C4*B4*G4-(60*E4*0.15*B4),2)</f>
        <v>#REF!</v>
      </c>
    </row>
    <row r="5" spans="1:9" x14ac:dyDescent="0.25">
      <c r="A5">
        <f>'Credit Calculator '!A19</f>
        <v>3</v>
      </c>
      <c r="B5" s="47" t="e">
        <f>#REF!+#REF!</f>
        <v>#REF!</v>
      </c>
      <c r="C5" s="47">
        <v>1</v>
      </c>
      <c r="D5" s="125">
        <f t="shared" si="0"/>
        <v>141.80000000000001</v>
      </c>
      <c r="E5" s="125">
        <f t="shared" si="1"/>
        <v>323.3</v>
      </c>
      <c r="F5" s="125">
        <f t="shared" si="2"/>
        <v>0.64</v>
      </c>
      <c r="G5" s="125">
        <f t="shared" si="3"/>
        <v>0.75</v>
      </c>
      <c r="H5" s="125" t="e">
        <f t="shared" si="4"/>
        <v>#REF!</v>
      </c>
      <c r="I5" s="125" t="e">
        <f t="shared" si="5"/>
        <v>#REF!</v>
      </c>
    </row>
    <row r="6" spans="1:9" x14ac:dyDescent="0.25">
      <c r="A6">
        <f>'Credit Calculator '!A20</f>
        <v>4</v>
      </c>
      <c r="B6" s="47" t="e">
        <f>#REF!+#REF!</f>
        <v>#REF!</v>
      </c>
      <c r="C6" s="47">
        <v>1</v>
      </c>
      <c r="D6" s="125">
        <f t="shared" si="0"/>
        <v>141.80000000000001</v>
      </c>
      <c r="E6" s="125">
        <f t="shared" si="1"/>
        <v>323.3</v>
      </c>
      <c r="F6" s="125">
        <f t="shared" si="2"/>
        <v>0.64</v>
      </c>
      <c r="G6" s="125">
        <f t="shared" si="3"/>
        <v>0.75</v>
      </c>
      <c r="H6" s="125" t="e">
        <f t="shared" si="4"/>
        <v>#REF!</v>
      </c>
      <c r="I6" s="125" t="e">
        <f t="shared" si="5"/>
        <v>#REF!</v>
      </c>
    </row>
    <row r="7" spans="1:9" x14ac:dyDescent="0.25">
      <c r="A7">
        <f>'Credit Calculator '!A21</f>
        <v>5</v>
      </c>
      <c r="B7" s="47" t="e">
        <f>#REF!+#REF!</f>
        <v>#REF!</v>
      </c>
      <c r="C7" s="47">
        <v>1</v>
      </c>
      <c r="D7" s="125">
        <f t="shared" si="0"/>
        <v>141.80000000000001</v>
      </c>
      <c r="E7" s="125">
        <f t="shared" si="1"/>
        <v>323.3</v>
      </c>
      <c r="F7" s="125">
        <f t="shared" si="2"/>
        <v>0.64</v>
      </c>
      <c r="G7" s="125">
        <f t="shared" si="3"/>
        <v>0.75</v>
      </c>
      <c r="H7" s="125" t="e">
        <f t="shared" si="4"/>
        <v>#REF!</v>
      </c>
      <c r="I7" s="125" t="e">
        <f t="shared" si="5"/>
        <v>#REF!</v>
      </c>
    </row>
    <row r="8" spans="1:9" s="47" customFormat="1" x14ac:dyDescent="0.25">
      <c r="A8" s="276" t="s">
        <v>97</v>
      </c>
      <c r="B8" s="276"/>
      <c r="C8" s="276"/>
      <c r="D8" s="276"/>
      <c r="E8" s="276"/>
      <c r="F8" s="276"/>
      <c r="G8" s="276"/>
      <c r="H8" s="276"/>
      <c r="I8" s="276"/>
    </row>
    <row r="9" spans="1:9" x14ac:dyDescent="0.25">
      <c r="A9">
        <v>1</v>
      </c>
      <c r="B9" t="e">
        <f>#REF!+#REF!</f>
        <v>#REF!</v>
      </c>
      <c r="C9">
        <v>1</v>
      </c>
      <c r="D9" s="125">
        <f>ROUND(21.352*(0.15/C9)^-0.998,1)</f>
        <v>141.80000000000001</v>
      </c>
      <c r="E9" s="125">
        <f>ROUND(49.988*(0.15/C9)^-0.984,1)</f>
        <v>323.3</v>
      </c>
      <c r="F9" s="125">
        <f>ROUND((38.0708*(2^0.2081))/((12.1177+$D9)^0.8395),2)</f>
        <v>0.64</v>
      </c>
      <c r="G9" s="125">
        <f>ROUND((38.0708*(100^0.2081))/((12.1177+$E9)^0.8395),2)</f>
        <v>0.75</v>
      </c>
      <c r="H9" s="125" t="e">
        <f>ROUND((60.5*D9*C9*B9*F9-(60*E9*0.15*B9)),2)</f>
        <v>#REF!</v>
      </c>
      <c r="I9" s="125" t="e">
        <f>ROUND(60.5*E9*C9*B9*G9-(60*E9*0.15*B9),2)</f>
        <v>#REF!</v>
      </c>
    </row>
    <row r="10" spans="1:9" x14ac:dyDescent="0.25">
      <c r="A10">
        <v>2</v>
      </c>
      <c r="B10" s="48" t="e">
        <f>#REF!+#REF!</f>
        <v>#REF!</v>
      </c>
      <c r="C10" s="47">
        <v>1</v>
      </c>
      <c r="D10" s="125">
        <f t="shared" ref="D10:D13" si="6">ROUND(21.352*(0.15/C10)^-0.998,1)</f>
        <v>141.80000000000001</v>
      </c>
      <c r="E10" s="125">
        <f t="shared" ref="E10:E13" si="7">ROUND(49.988*(0.15/C10)^-0.984,1)</f>
        <v>323.3</v>
      </c>
      <c r="F10" s="125">
        <f t="shared" ref="F10:F13" si="8">ROUND((38.0708*(2^0.2081))/((12.1177+$D10)^0.8395),2)</f>
        <v>0.64</v>
      </c>
      <c r="G10" s="125">
        <f t="shared" ref="G10:G13" si="9">ROUND((38.0708*(100^0.2081))/((12.1177+$E10)^0.8395),2)</f>
        <v>0.75</v>
      </c>
      <c r="H10" s="125" t="e">
        <f t="shared" ref="H10:H13" si="10">ROUND((60.5*D10*C10*B10*F10-(60*E10*0.15*B10)),2)</f>
        <v>#REF!</v>
      </c>
      <c r="I10" s="125" t="e">
        <f t="shared" ref="I10:I13" si="11">ROUND(60.5*E10*C10*B10*G10-(60*E10*0.15*B10),2)</f>
        <v>#REF!</v>
      </c>
    </row>
    <row r="11" spans="1:9" x14ac:dyDescent="0.25">
      <c r="A11">
        <v>3</v>
      </c>
      <c r="B11" s="48" t="e">
        <f>#REF!+#REF!</f>
        <v>#REF!</v>
      </c>
      <c r="C11" s="47">
        <v>1</v>
      </c>
      <c r="D11" s="125">
        <f t="shared" si="6"/>
        <v>141.80000000000001</v>
      </c>
      <c r="E11" s="125">
        <f t="shared" si="7"/>
        <v>323.3</v>
      </c>
      <c r="F11" s="125">
        <f t="shared" si="8"/>
        <v>0.64</v>
      </c>
      <c r="G11" s="125">
        <f t="shared" si="9"/>
        <v>0.75</v>
      </c>
      <c r="H11" s="125" t="e">
        <f t="shared" si="10"/>
        <v>#REF!</v>
      </c>
      <c r="I11" s="125" t="e">
        <f t="shared" si="11"/>
        <v>#REF!</v>
      </c>
    </row>
    <row r="12" spans="1:9" x14ac:dyDescent="0.25">
      <c r="A12">
        <v>4</v>
      </c>
      <c r="B12" s="48" t="e">
        <f>#REF!+#REF!</f>
        <v>#REF!</v>
      </c>
      <c r="C12" s="47">
        <v>1</v>
      </c>
      <c r="D12" s="125">
        <f t="shared" si="6"/>
        <v>141.80000000000001</v>
      </c>
      <c r="E12" s="125">
        <f t="shared" si="7"/>
        <v>323.3</v>
      </c>
      <c r="F12" s="125">
        <f t="shared" si="8"/>
        <v>0.64</v>
      </c>
      <c r="G12" s="125">
        <f t="shared" si="9"/>
        <v>0.75</v>
      </c>
      <c r="H12" s="125" t="e">
        <f t="shared" si="10"/>
        <v>#REF!</v>
      </c>
      <c r="I12" s="125" t="e">
        <f t="shared" si="11"/>
        <v>#REF!</v>
      </c>
    </row>
    <row r="13" spans="1:9" x14ac:dyDescent="0.25">
      <c r="A13">
        <v>5</v>
      </c>
      <c r="B13" s="48" t="e">
        <f>#REF!+#REF!</f>
        <v>#REF!</v>
      </c>
      <c r="C13" s="47">
        <v>1</v>
      </c>
      <c r="D13" s="125">
        <f t="shared" si="6"/>
        <v>141.80000000000001</v>
      </c>
      <c r="E13" s="125">
        <f t="shared" si="7"/>
        <v>323.3</v>
      </c>
      <c r="F13" s="125">
        <f t="shared" si="8"/>
        <v>0.64</v>
      </c>
      <c r="G13" s="125">
        <f t="shared" si="9"/>
        <v>0.75</v>
      </c>
      <c r="H13" s="125" t="e">
        <f t="shared" si="10"/>
        <v>#REF!</v>
      </c>
      <c r="I13" s="125" t="e">
        <f t="shared" si="11"/>
        <v>#REF!</v>
      </c>
    </row>
    <row r="15" spans="1:9" x14ac:dyDescent="0.25">
      <c r="A15" s="275" t="s">
        <v>96</v>
      </c>
      <c r="B15" s="275"/>
      <c r="C15" s="275"/>
      <c r="D15" s="275"/>
      <c r="E15" s="275"/>
      <c r="F15" s="275"/>
      <c r="G15" s="275"/>
      <c r="H15" s="275"/>
      <c r="I15" s="275"/>
    </row>
    <row r="16" spans="1:9" x14ac:dyDescent="0.25">
      <c r="A16">
        <f>'Credit Calculator '!A17</f>
        <v>1</v>
      </c>
      <c r="B16">
        <f>'Credit Calculator '!D17</f>
        <v>0</v>
      </c>
      <c r="C16">
        <f>'Credit Calculator '!P17</f>
        <v>0</v>
      </c>
      <c r="D16" s="125" t="e">
        <f>ROUND(21.352*(0.15/C16)^-0.998,1)</f>
        <v>#DIV/0!</v>
      </c>
      <c r="E16" s="125" t="e">
        <f>ROUND(49.988*(0.15/C16)^-0.984,1)</f>
        <v>#DIV/0!</v>
      </c>
      <c r="F16" s="125" t="e">
        <f>ROUND((38.0708*(2^0.2081))/((12.1177+$D16)^0.8395),2)</f>
        <v>#DIV/0!</v>
      </c>
      <c r="G16" s="125" t="e">
        <f>ROUND((38.0708*(100^0.2081))/((12.1177+$E16)^0.8395),2)</f>
        <v>#DIV/0!</v>
      </c>
      <c r="H16" s="125" t="e">
        <f>ROUND((60.5*D16*C16*B16*F16-(60*E16*0.15*B16)),2)</f>
        <v>#DIV/0!</v>
      </c>
      <c r="I16" s="125" t="e">
        <f>ROUND(60.5*E16*C16*B16*G16-(60*E16*0.15*B16),2)</f>
        <v>#DIV/0!</v>
      </c>
    </row>
    <row r="17" spans="1:9" x14ac:dyDescent="0.25">
      <c r="A17">
        <f>'Credit Calculator '!A18</f>
        <v>2</v>
      </c>
      <c r="B17">
        <f>'Credit Calculator '!D18</f>
        <v>0</v>
      </c>
      <c r="C17">
        <f>'Credit Calculator '!P18</f>
        <v>0</v>
      </c>
      <c r="D17" s="125" t="e">
        <f t="shared" ref="D17:D80" si="12">ROUND(21.352*(0.15/C17)^-0.998,1)</f>
        <v>#DIV/0!</v>
      </c>
      <c r="E17" s="125" t="e">
        <f t="shared" ref="E17:E80" si="13">ROUND(49.988*(0.15/C17)^-0.984,1)</f>
        <v>#DIV/0!</v>
      </c>
      <c r="F17" s="125" t="e">
        <f t="shared" ref="F17:F80" si="14">ROUND((38.0708*(2^0.2081))/((12.1177+$D17)^0.8395),2)</f>
        <v>#DIV/0!</v>
      </c>
      <c r="G17" s="125" t="e">
        <f t="shared" ref="G17:G80" si="15">ROUND((38.0708*(100^0.2081))/((12.1177+$E17)^0.8395),2)</f>
        <v>#DIV/0!</v>
      </c>
      <c r="H17" s="125" t="e">
        <f t="shared" ref="H17:H80" si="16">ROUND((60.5*D17*C17*B17*F17-(60*E17*0.15*B17)),2)</f>
        <v>#DIV/0!</v>
      </c>
      <c r="I17" s="125" t="e">
        <f t="shared" ref="I17:I80" si="17">ROUND(60.5*E17*C17*B17*G17-(60*E17*0.15*B17),2)</f>
        <v>#DIV/0!</v>
      </c>
    </row>
    <row r="18" spans="1:9" x14ac:dyDescent="0.25">
      <c r="A18">
        <f>'Credit Calculator '!A19</f>
        <v>3</v>
      </c>
      <c r="B18">
        <f>'Credit Calculator '!D19</f>
        <v>0</v>
      </c>
      <c r="C18">
        <f>'Credit Calculator '!P19</f>
        <v>0</v>
      </c>
      <c r="D18" s="125" t="e">
        <f t="shared" si="12"/>
        <v>#DIV/0!</v>
      </c>
      <c r="E18" s="125" t="e">
        <f t="shared" si="13"/>
        <v>#DIV/0!</v>
      </c>
      <c r="F18" s="125" t="e">
        <f t="shared" si="14"/>
        <v>#DIV/0!</v>
      </c>
      <c r="G18" s="125" t="e">
        <f t="shared" si="15"/>
        <v>#DIV/0!</v>
      </c>
      <c r="H18" s="125" t="e">
        <f t="shared" si="16"/>
        <v>#DIV/0!</v>
      </c>
      <c r="I18" s="125" t="e">
        <f t="shared" si="17"/>
        <v>#DIV/0!</v>
      </c>
    </row>
    <row r="19" spans="1:9" x14ac:dyDescent="0.25">
      <c r="A19">
        <f>'Credit Calculator '!A20</f>
        <v>4</v>
      </c>
      <c r="B19">
        <f>'Credit Calculator '!D20</f>
        <v>0</v>
      </c>
      <c r="C19">
        <f>'Credit Calculator '!P20</f>
        <v>0</v>
      </c>
      <c r="D19" s="125" t="e">
        <f t="shared" si="12"/>
        <v>#DIV/0!</v>
      </c>
      <c r="E19" s="125" t="e">
        <f t="shared" si="13"/>
        <v>#DIV/0!</v>
      </c>
      <c r="F19" s="125" t="e">
        <f t="shared" si="14"/>
        <v>#DIV/0!</v>
      </c>
      <c r="G19" s="125" t="e">
        <f t="shared" si="15"/>
        <v>#DIV/0!</v>
      </c>
      <c r="H19" s="125" t="e">
        <f t="shared" si="16"/>
        <v>#DIV/0!</v>
      </c>
      <c r="I19" s="125" t="e">
        <f t="shared" si="17"/>
        <v>#DIV/0!</v>
      </c>
    </row>
    <row r="20" spans="1:9" x14ac:dyDescent="0.25">
      <c r="A20">
        <f>'Credit Calculator '!A21</f>
        <v>5</v>
      </c>
      <c r="B20">
        <f>'Credit Calculator '!D21</f>
        <v>0</v>
      </c>
      <c r="C20">
        <f>'Credit Calculator '!P21</f>
        <v>0</v>
      </c>
      <c r="D20" s="125" t="e">
        <f t="shared" si="12"/>
        <v>#DIV/0!</v>
      </c>
      <c r="E20" s="125" t="e">
        <f t="shared" si="13"/>
        <v>#DIV/0!</v>
      </c>
      <c r="F20" s="125" t="e">
        <f t="shared" si="14"/>
        <v>#DIV/0!</v>
      </c>
      <c r="G20" s="125" t="e">
        <f t="shared" si="15"/>
        <v>#DIV/0!</v>
      </c>
      <c r="H20" s="125" t="e">
        <f t="shared" si="16"/>
        <v>#DIV/0!</v>
      </c>
      <c r="I20" s="125" t="e">
        <f t="shared" si="17"/>
        <v>#DIV/0!</v>
      </c>
    </row>
    <row r="21" spans="1:9" x14ac:dyDescent="0.25">
      <c r="A21">
        <f>'Credit Calculator '!A22</f>
        <v>6</v>
      </c>
      <c r="B21">
        <f>'Credit Calculator '!D22</f>
        <v>0</v>
      </c>
      <c r="C21">
        <f>'Credit Calculator '!P22</f>
        <v>0</v>
      </c>
      <c r="D21" s="125" t="e">
        <f t="shared" si="12"/>
        <v>#DIV/0!</v>
      </c>
      <c r="E21" s="125" t="e">
        <f t="shared" si="13"/>
        <v>#DIV/0!</v>
      </c>
      <c r="F21" s="125" t="e">
        <f t="shared" si="14"/>
        <v>#DIV/0!</v>
      </c>
      <c r="G21" s="125" t="e">
        <f t="shared" si="15"/>
        <v>#DIV/0!</v>
      </c>
      <c r="H21" s="125" t="e">
        <f t="shared" si="16"/>
        <v>#DIV/0!</v>
      </c>
      <c r="I21" s="125" t="e">
        <f t="shared" si="17"/>
        <v>#DIV/0!</v>
      </c>
    </row>
    <row r="22" spans="1:9" x14ac:dyDescent="0.25">
      <c r="A22">
        <f>'Credit Calculator '!A23</f>
        <v>7</v>
      </c>
      <c r="B22">
        <f>'Credit Calculator '!D23</f>
        <v>0</v>
      </c>
      <c r="C22">
        <f>'Credit Calculator '!P23</f>
        <v>0</v>
      </c>
      <c r="D22" s="125" t="e">
        <f t="shared" si="12"/>
        <v>#DIV/0!</v>
      </c>
      <c r="E22" s="125" t="e">
        <f t="shared" si="13"/>
        <v>#DIV/0!</v>
      </c>
      <c r="F22" s="125" t="e">
        <f t="shared" si="14"/>
        <v>#DIV/0!</v>
      </c>
      <c r="G22" s="125" t="e">
        <f t="shared" si="15"/>
        <v>#DIV/0!</v>
      </c>
      <c r="H22" s="125" t="e">
        <f t="shared" si="16"/>
        <v>#DIV/0!</v>
      </c>
      <c r="I22" s="125" t="e">
        <f t="shared" si="17"/>
        <v>#DIV/0!</v>
      </c>
    </row>
    <row r="23" spans="1:9" x14ac:dyDescent="0.25">
      <c r="A23">
        <f>'Credit Calculator '!A24</f>
        <v>8</v>
      </c>
      <c r="B23">
        <f>'Credit Calculator '!D24</f>
        <v>0</v>
      </c>
      <c r="C23">
        <f>'Credit Calculator '!P24</f>
        <v>0</v>
      </c>
      <c r="D23" s="125" t="e">
        <f t="shared" si="12"/>
        <v>#DIV/0!</v>
      </c>
      <c r="E23" s="125" t="e">
        <f t="shared" si="13"/>
        <v>#DIV/0!</v>
      </c>
      <c r="F23" s="125" t="e">
        <f t="shared" si="14"/>
        <v>#DIV/0!</v>
      </c>
      <c r="G23" s="125" t="e">
        <f t="shared" si="15"/>
        <v>#DIV/0!</v>
      </c>
      <c r="H23" s="125" t="e">
        <f t="shared" si="16"/>
        <v>#DIV/0!</v>
      </c>
      <c r="I23" s="125" t="e">
        <f t="shared" si="17"/>
        <v>#DIV/0!</v>
      </c>
    </row>
    <row r="24" spans="1:9" x14ac:dyDescent="0.25">
      <c r="A24">
        <f>'Credit Calculator '!A25</f>
        <v>9</v>
      </c>
      <c r="B24">
        <f>'Credit Calculator '!D25</f>
        <v>0</v>
      </c>
      <c r="C24">
        <f>'Credit Calculator '!P25</f>
        <v>0</v>
      </c>
      <c r="D24" s="125" t="e">
        <f t="shared" si="12"/>
        <v>#DIV/0!</v>
      </c>
      <c r="E24" s="125" t="e">
        <f t="shared" si="13"/>
        <v>#DIV/0!</v>
      </c>
      <c r="F24" s="125" t="e">
        <f t="shared" si="14"/>
        <v>#DIV/0!</v>
      </c>
      <c r="G24" s="125" t="e">
        <f t="shared" si="15"/>
        <v>#DIV/0!</v>
      </c>
      <c r="H24" s="125" t="e">
        <f t="shared" si="16"/>
        <v>#DIV/0!</v>
      </c>
      <c r="I24" s="125" t="e">
        <f t="shared" si="17"/>
        <v>#DIV/0!</v>
      </c>
    </row>
    <row r="25" spans="1:9" x14ac:dyDescent="0.25">
      <c r="A25">
        <f>'Credit Calculator '!A26</f>
        <v>10</v>
      </c>
      <c r="B25">
        <f>'Credit Calculator '!D26</f>
        <v>0</v>
      </c>
      <c r="C25">
        <f>'Credit Calculator '!P26</f>
        <v>0</v>
      </c>
      <c r="D25" s="125" t="e">
        <f t="shared" si="12"/>
        <v>#DIV/0!</v>
      </c>
      <c r="E25" s="125" t="e">
        <f t="shared" si="13"/>
        <v>#DIV/0!</v>
      </c>
      <c r="F25" s="125" t="e">
        <f t="shared" si="14"/>
        <v>#DIV/0!</v>
      </c>
      <c r="G25" s="125" t="e">
        <f t="shared" si="15"/>
        <v>#DIV/0!</v>
      </c>
      <c r="H25" s="125" t="e">
        <f t="shared" si="16"/>
        <v>#DIV/0!</v>
      </c>
      <c r="I25" s="125" t="e">
        <f t="shared" si="17"/>
        <v>#DIV/0!</v>
      </c>
    </row>
    <row r="26" spans="1:9" x14ac:dyDescent="0.25">
      <c r="A26" t="e">
        <f>'Credit Calculator '!#REF!</f>
        <v>#REF!</v>
      </c>
      <c r="B26" t="e">
        <f>'Credit Calculator '!#REF!</f>
        <v>#REF!</v>
      </c>
      <c r="C26" t="e">
        <f>'Credit Calculator '!#REF!</f>
        <v>#REF!</v>
      </c>
      <c r="D26" s="125" t="e">
        <f t="shared" si="12"/>
        <v>#REF!</v>
      </c>
      <c r="E26" s="125" t="e">
        <f t="shared" si="13"/>
        <v>#REF!</v>
      </c>
      <c r="F26" s="125" t="e">
        <f t="shared" si="14"/>
        <v>#REF!</v>
      </c>
      <c r="G26" s="125" t="e">
        <f t="shared" si="15"/>
        <v>#REF!</v>
      </c>
      <c r="H26" s="125" t="e">
        <f t="shared" si="16"/>
        <v>#REF!</v>
      </c>
      <c r="I26" s="125" t="e">
        <f t="shared" si="17"/>
        <v>#REF!</v>
      </c>
    </row>
    <row r="27" spans="1:9" x14ac:dyDescent="0.25">
      <c r="A27" t="e">
        <f>'Credit Calculator '!#REF!</f>
        <v>#REF!</v>
      </c>
      <c r="B27" t="e">
        <f>'Credit Calculator '!#REF!</f>
        <v>#REF!</v>
      </c>
      <c r="C27">
        <f>'Credit Calculator '!P28</f>
        <v>0</v>
      </c>
      <c r="D27" s="125" t="e">
        <f t="shared" si="12"/>
        <v>#DIV/0!</v>
      </c>
      <c r="E27" s="125" t="e">
        <f t="shared" si="13"/>
        <v>#DIV/0!</v>
      </c>
      <c r="F27" s="125" t="e">
        <f t="shared" si="14"/>
        <v>#DIV/0!</v>
      </c>
      <c r="G27" s="125" t="e">
        <f t="shared" si="15"/>
        <v>#DIV/0!</v>
      </c>
      <c r="H27" s="125" t="e">
        <f t="shared" si="16"/>
        <v>#DIV/0!</v>
      </c>
      <c r="I27" s="125" t="e">
        <f t="shared" si="17"/>
        <v>#DIV/0!</v>
      </c>
    </row>
    <row r="28" spans="1:9" x14ac:dyDescent="0.25">
      <c r="A28" t="e">
        <f>'Credit Calculator '!#REF!</f>
        <v>#REF!</v>
      </c>
      <c r="B28" t="e">
        <f>'Credit Calculator '!#REF!</f>
        <v>#REF!</v>
      </c>
      <c r="C28" t="e">
        <f>'Credit Calculator '!#REF!</f>
        <v>#REF!</v>
      </c>
      <c r="D28" s="125" t="e">
        <f t="shared" si="12"/>
        <v>#REF!</v>
      </c>
      <c r="E28" s="125" t="e">
        <f t="shared" si="13"/>
        <v>#REF!</v>
      </c>
      <c r="F28" s="125" t="e">
        <f t="shared" si="14"/>
        <v>#REF!</v>
      </c>
      <c r="G28" s="125" t="e">
        <f t="shared" si="15"/>
        <v>#REF!</v>
      </c>
      <c r="H28" s="125" t="e">
        <f t="shared" si="16"/>
        <v>#REF!</v>
      </c>
      <c r="I28" s="125" t="e">
        <f t="shared" si="17"/>
        <v>#REF!</v>
      </c>
    </row>
    <row r="29" spans="1:9" x14ac:dyDescent="0.25">
      <c r="A29" t="e">
        <f>'Credit Calculator '!#REF!</f>
        <v>#REF!</v>
      </c>
      <c r="B29">
        <f>'Credit Calculator '!D28</f>
        <v>0</v>
      </c>
      <c r="C29">
        <f>'Credit Calculator '!AE29</f>
        <v>0</v>
      </c>
      <c r="D29" s="125" t="e">
        <f t="shared" si="12"/>
        <v>#DIV/0!</v>
      </c>
      <c r="E29" s="125" t="e">
        <f t="shared" si="13"/>
        <v>#DIV/0!</v>
      </c>
      <c r="F29" s="125" t="e">
        <f t="shared" si="14"/>
        <v>#DIV/0!</v>
      </c>
      <c r="G29" s="125" t="e">
        <f t="shared" si="15"/>
        <v>#DIV/0!</v>
      </c>
      <c r="H29" s="125" t="e">
        <f t="shared" si="16"/>
        <v>#DIV/0!</v>
      </c>
      <c r="I29" s="125" t="e">
        <f t="shared" si="17"/>
        <v>#DIV/0!</v>
      </c>
    </row>
    <row r="30" spans="1:9" x14ac:dyDescent="0.25">
      <c r="A30" t="e">
        <f>'Credit Calculator '!#REF!</f>
        <v>#REF!</v>
      </c>
      <c r="B30" t="e">
        <f>'Credit Calculator '!#REF!</f>
        <v>#REF!</v>
      </c>
      <c r="C30" t="e">
        <f>'Credit Calculator '!#REF!</f>
        <v>#REF!</v>
      </c>
      <c r="D30" s="125" t="e">
        <f t="shared" si="12"/>
        <v>#REF!</v>
      </c>
      <c r="E30" s="125" t="e">
        <f t="shared" si="13"/>
        <v>#REF!</v>
      </c>
      <c r="F30" s="125" t="e">
        <f t="shared" si="14"/>
        <v>#REF!</v>
      </c>
      <c r="G30" s="125" t="e">
        <f t="shared" si="15"/>
        <v>#REF!</v>
      </c>
      <c r="H30" s="125" t="e">
        <f t="shared" si="16"/>
        <v>#REF!</v>
      </c>
      <c r="I30" s="125" t="e">
        <f t="shared" si="17"/>
        <v>#REF!</v>
      </c>
    </row>
    <row r="31" spans="1:9" x14ac:dyDescent="0.25">
      <c r="A31" t="e">
        <f>'Credit Calculator '!#REF!</f>
        <v>#REF!</v>
      </c>
      <c r="B31">
        <f>'Credit Calculator '!D30</f>
        <v>0</v>
      </c>
      <c r="C31" t="e">
        <f>'Credit Calculator '!#REF!</f>
        <v>#REF!</v>
      </c>
      <c r="D31" s="125" t="e">
        <f t="shared" si="12"/>
        <v>#REF!</v>
      </c>
      <c r="E31" s="125" t="e">
        <f t="shared" si="13"/>
        <v>#REF!</v>
      </c>
      <c r="F31" s="125" t="e">
        <f t="shared" si="14"/>
        <v>#REF!</v>
      </c>
      <c r="G31" s="125" t="e">
        <f t="shared" si="15"/>
        <v>#REF!</v>
      </c>
      <c r="H31" s="125" t="e">
        <f t="shared" si="16"/>
        <v>#REF!</v>
      </c>
      <c r="I31" s="125" t="e">
        <f t="shared" si="17"/>
        <v>#REF!</v>
      </c>
    </row>
    <row r="32" spans="1:9" x14ac:dyDescent="0.25">
      <c r="A32" t="e">
        <f>'Credit Calculator '!#REF!</f>
        <v>#REF!</v>
      </c>
      <c r="B32" t="e">
        <f>'Credit Calculator '!#REF!</f>
        <v>#REF!</v>
      </c>
      <c r="C32">
        <f>'Credit Calculator '!P31</f>
        <v>0</v>
      </c>
      <c r="D32" s="125" t="e">
        <f t="shared" si="12"/>
        <v>#DIV/0!</v>
      </c>
      <c r="E32" s="125" t="e">
        <f t="shared" si="13"/>
        <v>#DIV/0!</v>
      </c>
      <c r="F32" s="125" t="e">
        <f t="shared" si="14"/>
        <v>#DIV/0!</v>
      </c>
      <c r="G32" s="125" t="e">
        <f t="shared" si="15"/>
        <v>#DIV/0!</v>
      </c>
      <c r="H32" s="125" t="e">
        <f t="shared" si="16"/>
        <v>#DIV/0!</v>
      </c>
      <c r="I32" s="125" t="e">
        <f t="shared" si="17"/>
        <v>#DIV/0!</v>
      </c>
    </row>
    <row r="33" spans="1:9" x14ac:dyDescent="0.25">
      <c r="A33" t="e">
        <f>'Credit Calculator '!#REF!</f>
        <v>#REF!</v>
      </c>
      <c r="B33" t="e">
        <f>'Credit Calculator '!D31</f>
        <v>#REF!</v>
      </c>
      <c r="C33" t="e">
        <f>'Credit Calculator '!#REF!</f>
        <v>#REF!</v>
      </c>
      <c r="D33" s="125" t="e">
        <f t="shared" si="12"/>
        <v>#REF!</v>
      </c>
      <c r="E33" s="125" t="e">
        <f t="shared" si="13"/>
        <v>#REF!</v>
      </c>
      <c r="F33" s="125" t="e">
        <f t="shared" si="14"/>
        <v>#REF!</v>
      </c>
      <c r="G33" s="125" t="e">
        <f t="shared" si="15"/>
        <v>#REF!</v>
      </c>
      <c r="H33" s="125" t="e">
        <f t="shared" si="16"/>
        <v>#REF!</v>
      </c>
      <c r="I33" s="125" t="e">
        <f t="shared" si="17"/>
        <v>#REF!</v>
      </c>
    </row>
    <row r="34" spans="1:9" x14ac:dyDescent="0.25">
      <c r="A34" t="e">
        <f>'Credit Calculator '!#REF!</f>
        <v>#REF!</v>
      </c>
      <c r="B34" t="e">
        <f>'Credit Calculator '!#REF!</f>
        <v>#REF!</v>
      </c>
      <c r="C34" t="e">
        <f>'Credit Calculator '!#REF!</f>
        <v>#REF!</v>
      </c>
      <c r="D34" s="125" t="e">
        <f t="shared" si="12"/>
        <v>#REF!</v>
      </c>
      <c r="E34" s="125" t="e">
        <f t="shared" si="13"/>
        <v>#REF!</v>
      </c>
      <c r="F34" s="125" t="e">
        <f t="shared" si="14"/>
        <v>#REF!</v>
      </c>
      <c r="G34" s="125" t="e">
        <f t="shared" si="15"/>
        <v>#REF!</v>
      </c>
      <c r="H34" s="125" t="e">
        <f t="shared" si="16"/>
        <v>#REF!</v>
      </c>
      <c r="I34" s="125" t="e">
        <f t="shared" si="17"/>
        <v>#REF!</v>
      </c>
    </row>
    <row r="35" spans="1:9" x14ac:dyDescent="0.25">
      <c r="A35" t="e">
        <f>'Credit Calculator '!#REF!</f>
        <v>#REF!</v>
      </c>
      <c r="B35" t="str">
        <f>'Credit Calculator '!G31</f>
        <v>Total Peak Flow Site Credit:</v>
      </c>
      <c r="C35" t="e">
        <f>'Credit Calculator '!#REF!</f>
        <v>#REF!</v>
      </c>
      <c r="D35" s="125" t="e">
        <f t="shared" si="12"/>
        <v>#REF!</v>
      </c>
      <c r="E35" s="125" t="e">
        <f t="shared" si="13"/>
        <v>#REF!</v>
      </c>
      <c r="F35" s="125" t="e">
        <f t="shared" si="14"/>
        <v>#REF!</v>
      </c>
      <c r="G35" s="125" t="e">
        <f t="shared" si="15"/>
        <v>#REF!</v>
      </c>
      <c r="H35" s="125" t="e">
        <f t="shared" si="16"/>
        <v>#REF!</v>
      </c>
      <c r="I35" s="125" t="e">
        <f t="shared" si="17"/>
        <v>#REF!</v>
      </c>
    </row>
    <row r="36" spans="1:9" x14ac:dyDescent="0.25">
      <c r="A36" t="e">
        <f>'Credit Calculator '!#REF!</f>
        <v>#REF!</v>
      </c>
      <c r="B36">
        <f>'Credit Calculator '!H31</f>
        <v>0</v>
      </c>
      <c r="C36" t="e">
        <f>'Credit Calculator '!#REF!</f>
        <v>#REF!</v>
      </c>
      <c r="D36" s="125" t="e">
        <f t="shared" si="12"/>
        <v>#REF!</v>
      </c>
      <c r="E36" s="125" t="e">
        <f t="shared" si="13"/>
        <v>#REF!</v>
      </c>
      <c r="F36" s="125" t="e">
        <f t="shared" si="14"/>
        <v>#REF!</v>
      </c>
      <c r="G36" s="125" t="e">
        <f t="shared" si="15"/>
        <v>#REF!</v>
      </c>
      <c r="H36" s="125" t="e">
        <f t="shared" si="16"/>
        <v>#REF!</v>
      </c>
      <c r="I36" s="125" t="e">
        <f t="shared" si="17"/>
        <v>#REF!</v>
      </c>
    </row>
    <row r="37" spans="1:9" x14ac:dyDescent="0.25">
      <c r="A37" t="e">
        <f>'Credit Calculator '!#REF!</f>
        <v>#REF!</v>
      </c>
      <c r="B37" t="e">
        <f>'Credit Calculator '!#REF!</f>
        <v>#REF!</v>
      </c>
      <c r="C37" t="e">
        <f>'Credit Calculator '!#REF!</f>
        <v>#REF!</v>
      </c>
      <c r="D37" s="125" t="e">
        <f t="shared" si="12"/>
        <v>#REF!</v>
      </c>
      <c r="E37" s="125" t="e">
        <f t="shared" si="13"/>
        <v>#REF!</v>
      </c>
      <c r="F37" s="125" t="e">
        <f t="shared" si="14"/>
        <v>#REF!</v>
      </c>
      <c r="G37" s="125" t="e">
        <f t="shared" si="15"/>
        <v>#REF!</v>
      </c>
      <c r="H37" s="125" t="e">
        <f t="shared" si="16"/>
        <v>#REF!</v>
      </c>
      <c r="I37" s="125" t="e">
        <f t="shared" si="17"/>
        <v>#REF!</v>
      </c>
    </row>
    <row r="38" spans="1:9" x14ac:dyDescent="0.25">
      <c r="A38" t="e">
        <f>'Credit Calculator '!#REF!</f>
        <v>#REF!</v>
      </c>
      <c r="B38" t="e">
        <f>'Credit Calculator '!#REF!</f>
        <v>#REF!</v>
      </c>
      <c r="C38" t="e">
        <f>'Credit Calculator '!#REF!</f>
        <v>#REF!</v>
      </c>
      <c r="D38" s="125" t="e">
        <f t="shared" si="12"/>
        <v>#REF!</v>
      </c>
      <c r="E38" s="125" t="e">
        <f t="shared" si="13"/>
        <v>#REF!</v>
      </c>
      <c r="F38" s="125" t="e">
        <f t="shared" si="14"/>
        <v>#REF!</v>
      </c>
      <c r="G38" s="125" t="e">
        <f t="shared" si="15"/>
        <v>#REF!</v>
      </c>
      <c r="H38" s="125" t="e">
        <f t="shared" si="16"/>
        <v>#REF!</v>
      </c>
      <c r="I38" s="125" t="e">
        <f t="shared" si="17"/>
        <v>#REF!</v>
      </c>
    </row>
    <row r="39" spans="1:9" x14ac:dyDescent="0.25">
      <c r="A39" t="e">
        <f>'Credit Calculator '!#REF!</f>
        <v>#REF!</v>
      </c>
      <c r="B39" t="e">
        <f>'Credit Calculator '!#REF!</f>
        <v>#REF!</v>
      </c>
      <c r="C39" t="e">
        <f>'Credit Calculator '!#REF!</f>
        <v>#REF!</v>
      </c>
      <c r="D39" s="125" t="e">
        <f t="shared" si="12"/>
        <v>#REF!</v>
      </c>
      <c r="E39" s="125" t="e">
        <f t="shared" si="13"/>
        <v>#REF!</v>
      </c>
      <c r="F39" s="125" t="e">
        <f t="shared" si="14"/>
        <v>#REF!</v>
      </c>
      <c r="G39" s="125" t="e">
        <f t="shared" si="15"/>
        <v>#REF!</v>
      </c>
      <c r="H39" s="125" t="e">
        <f t="shared" si="16"/>
        <v>#REF!</v>
      </c>
      <c r="I39" s="125" t="e">
        <f t="shared" si="17"/>
        <v>#REF!</v>
      </c>
    </row>
    <row r="40" spans="1:9" x14ac:dyDescent="0.25">
      <c r="A40" t="e">
        <f>'Credit Calculator '!#REF!</f>
        <v>#REF!</v>
      </c>
      <c r="B40" t="e">
        <f>'Credit Calculator '!#REF!</f>
        <v>#REF!</v>
      </c>
      <c r="C40" t="e">
        <f>'Credit Calculator '!#REF!</f>
        <v>#REF!</v>
      </c>
      <c r="D40" s="125" t="e">
        <f t="shared" si="12"/>
        <v>#REF!</v>
      </c>
      <c r="E40" s="125" t="e">
        <f t="shared" si="13"/>
        <v>#REF!</v>
      </c>
      <c r="F40" s="125" t="e">
        <f t="shared" si="14"/>
        <v>#REF!</v>
      </c>
      <c r="G40" s="125" t="e">
        <f t="shared" si="15"/>
        <v>#REF!</v>
      </c>
      <c r="H40" s="125" t="e">
        <f t="shared" si="16"/>
        <v>#REF!</v>
      </c>
      <c r="I40" s="125" t="e">
        <f t="shared" si="17"/>
        <v>#REF!</v>
      </c>
    </row>
    <row r="41" spans="1:9" x14ac:dyDescent="0.25">
      <c r="A41" t="e">
        <f>'Credit Calculator '!#REF!</f>
        <v>#REF!</v>
      </c>
      <c r="B41" t="e">
        <f>'Credit Calculator '!#REF!</f>
        <v>#REF!</v>
      </c>
      <c r="C41" t="e">
        <f>'Credit Calculator '!#REF!</f>
        <v>#REF!</v>
      </c>
      <c r="D41" s="125" t="e">
        <f t="shared" si="12"/>
        <v>#REF!</v>
      </c>
      <c r="E41" s="125" t="e">
        <f t="shared" si="13"/>
        <v>#REF!</v>
      </c>
      <c r="F41" s="125" t="e">
        <f t="shared" si="14"/>
        <v>#REF!</v>
      </c>
      <c r="G41" s="125" t="e">
        <f t="shared" si="15"/>
        <v>#REF!</v>
      </c>
      <c r="H41" s="125" t="e">
        <f t="shared" si="16"/>
        <v>#REF!</v>
      </c>
      <c r="I41" s="125" t="e">
        <f t="shared" si="17"/>
        <v>#REF!</v>
      </c>
    </row>
    <row r="42" spans="1:9" x14ac:dyDescent="0.25">
      <c r="A42" t="e">
        <f>'Credit Calculator '!#REF!</f>
        <v>#REF!</v>
      </c>
      <c r="B42" t="e">
        <f>'Credit Calculator '!#REF!</f>
        <v>#REF!</v>
      </c>
      <c r="C42" t="e">
        <f>'Credit Calculator '!#REF!</f>
        <v>#REF!</v>
      </c>
      <c r="D42" s="125" t="e">
        <f t="shared" si="12"/>
        <v>#REF!</v>
      </c>
      <c r="E42" s="125" t="e">
        <f t="shared" si="13"/>
        <v>#REF!</v>
      </c>
      <c r="F42" s="125" t="e">
        <f t="shared" si="14"/>
        <v>#REF!</v>
      </c>
      <c r="G42" s="125" t="e">
        <f t="shared" si="15"/>
        <v>#REF!</v>
      </c>
      <c r="H42" s="125" t="e">
        <f t="shared" si="16"/>
        <v>#REF!</v>
      </c>
      <c r="I42" s="125" t="e">
        <f t="shared" si="17"/>
        <v>#REF!</v>
      </c>
    </row>
    <row r="43" spans="1:9" x14ac:dyDescent="0.25">
      <c r="A43" t="e">
        <f>'Credit Calculator '!#REF!</f>
        <v>#REF!</v>
      </c>
      <c r="B43" t="e">
        <f>'Credit Calculator '!#REF!</f>
        <v>#REF!</v>
      </c>
      <c r="C43" t="e">
        <f>'Credit Calculator '!#REF!</f>
        <v>#REF!</v>
      </c>
      <c r="D43" s="125" t="e">
        <f t="shared" si="12"/>
        <v>#REF!</v>
      </c>
      <c r="E43" s="125" t="e">
        <f t="shared" si="13"/>
        <v>#REF!</v>
      </c>
      <c r="F43" s="125" t="e">
        <f t="shared" si="14"/>
        <v>#REF!</v>
      </c>
      <c r="G43" s="125" t="e">
        <f t="shared" si="15"/>
        <v>#REF!</v>
      </c>
      <c r="H43" s="125" t="e">
        <f t="shared" si="16"/>
        <v>#REF!</v>
      </c>
      <c r="I43" s="125" t="e">
        <f t="shared" si="17"/>
        <v>#REF!</v>
      </c>
    </row>
    <row r="44" spans="1:9" x14ac:dyDescent="0.25">
      <c r="A44" t="e">
        <f>'Credit Calculator '!#REF!</f>
        <v>#REF!</v>
      </c>
      <c r="B44" t="e">
        <f>'Credit Calculator '!#REF!</f>
        <v>#REF!</v>
      </c>
      <c r="C44" t="e">
        <f>'Credit Calculator '!#REF!</f>
        <v>#REF!</v>
      </c>
      <c r="D44" s="125" t="e">
        <f t="shared" si="12"/>
        <v>#REF!</v>
      </c>
      <c r="E44" s="125" t="e">
        <f t="shared" si="13"/>
        <v>#REF!</v>
      </c>
      <c r="F44" s="125" t="e">
        <f t="shared" si="14"/>
        <v>#REF!</v>
      </c>
      <c r="G44" s="125" t="e">
        <f t="shared" si="15"/>
        <v>#REF!</v>
      </c>
      <c r="H44" s="125" t="e">
        <f t="shared" si="16"/>
        <v>#REF!</v>
      </c>
      <c r="I44" s="125" t="e">
        <f t="shared" si="17"/>
        <v>#REF!</v>
      </c>
    </row>
    <row r="45" spans="1:9" x14ac:dyDescent="0.25">
      <c r="A45" t="e">
        <f>'Credit Calculator '!#REF!</f>
        <v>#REF!</v>
      </c>
      <c r="B45" t="e">
        <f>'Credit Calculator '!#REF!</f>
        <v>#REF!</v>
      </c>
      <c r="C45" t="e">
        <f>'Credit Calculator '!#REF!</f>
        <v>#REF!</v>
      </c>
      <c r="D45" s="125" t="e">
        <f t="shared" si="12"/>
        <v>#REF!</v>
      </c>
      <c r="E45" s="125" t="e">
        <f t="shared" si="13"/>
        <v>#REF!</v>
      </c>
      <c r="F45" s="125" t="e">
        <f t="shared" si="14"/>
        <v>#REF!</v>
      </c>
      <c r="G45" s="125" t="e">
        <f t="shared" si="15"/>
        <v>#REF!</v>
      </c>
      <c r="H45" s="125" t="e">
        <f t="shared" si="16"/>
        <v>#REF!</v>
      </c>
      <c r="I45" s="125" t="e">
        <f t="shared" si="17"/>
        <v>#REF!</v>
      </c>
    </row>
    <row r="46" spans="1:9" x14ac:dyDescent="0.25">
      <c r="A46" t="e">
        <f>'Credit Calculator '!#REF!</f>
        <v>#REF!</v>
      </c>
      <c r="B46" t="e">
        <f>'Credit Calculator '!#REF!</f>
        <v>#REF!</v>
      </c>
      <c r="C46" t="e">
        <f>'Credit Calculator '!#REF!</f>
        <v>#REF!</v>
      </c>
      <c r="D46" s="125" t="e">
        <f t="shared" si="12"/>
        <v>#REF!</v>
      </c>
      <c r="E46" s="125" t="e">
        <f t="shared" si="13"/>
        <v>#REF!</v>
      </c>
      <c r="F46" s="125" t="e">
        <f t="shared" si="14"/>
        <v>#REF!</v>
      </c>
      <c r="G46" s="125" t="e">
        <f t="shared" si="15"/>
        <v>#REF!</v>
      </c>
      <c r="H46" s="125" t="e">
        <f t="shared" si="16"/>
        <v>#REF!</v>
      </c>
      <c r="I46" s="125" t="e">
        <f t="shared" si="17"/>
        <v>#REF!</v>
      </c>
    </row>
    <row r="47" spans="1:9" x14ac:dyDescent="0.25">
      <c r="A47" t="e">
        <f>'Credit Calculator '!#REF!</f>
        <v>#REF!</v>
      </c>
      <c r="B47" t="e">
        <f>'Credit Calculator '!#REF!</f>
        <v>#REF!</v>
      </c>
      <c r="C47" t="e">
        <f>'Credit Calculator '!#REF!</f>
        <v>#REF!</v>
      </c>
      <c r="D47" s="125" t="e">
        <f t="shared" si="12"/>
        <v>#REF!</v>
      </c>
      <c r="E47" s="125" t="e">
        <f t="shared" si="13"/>
        <v>#REF!</v>
      </c>
      <c r="F47" s="125" t="e">
        <f t="shared" si="14"/>
        <v>#REF!</v>
      </c>
      <c r="G47" s="125" t="e">
        <f t="shared" si="15"/>
        <v>#REF!</v>
      </c>
      <c r="H47" s="125" t="e">
        <f t="shared" si="16"/>
        <v>#REF!</v>
      </c>
      <c r="I47" s="125" t="e">
        <f t="shared" si="17"/>
        <v>#REF!</v>
      </c>
    </row>
    <row r="48" spans="1:9" x14ac:dyDescent="0.25">
      <c r="A48" t="e">
        <f>'Credit Calculator '!#REF!</f>
        <v>#REF!</v>
      </c>
      <c r="B48" t="e">
        <f>'Credit Calculator '!#REF!</f>
        <v>#REF!</v>
      </c>
      <c r="C48" t="e">
        <f>'Credit Calculator '!#REF!</f>
        <v>#REF!</v>
      </c>
      <c r="D48" s="125" t="e">
        <f t="shared" si="12"/>
        <v>#REF!</v>
      </c>
      <c r="E48" s="125" t="e">
        <f t="shared" si="13"/>
        <v>#REF!</v>
      </c>
      <c r="F48" s="125" t="e">
        <f t="shared" si="14"/>
        <v>#REF!</v>
      </c>
      <c r="G48" s="125" t="e">
        <f t="shared" si="15"/>
        <v>#REF!</v>
      </c>
      <c r="H48" s="125" t="e">
        <f t="shared" si="16"/>
        <v>#REF!</v>
      </c>
      <c r="I48" s="125" t="e">
        <f t="shared" si="17"/>
        <v>#REF!</v>
      </c>
    </row>
    <row r="49" spans="1:9" x14ac:dyDescent="0.25">
      <c r="A49" t="e">
        <f>'Credit Calculator '!#REF!</f>
        <v>#REF!</v>
      </c>
      <c r="B49" t="e">
        <f>'Credit Calculator '!#REF!</f>
        <v>#REF!</v>
      </c>
      <c r="C49" t="e">
        <f>'Credit Calculator '!#REF!</f>
        <v>#REF!</v>
      </c>
      <c r="D49" s="125" t="e">
        <f t="shared" si="12"/>
        <v>#REF!</v>
      </c>
      <c r="E49" s="125" t="e">
        <f t="shared" si="13"/>
        <v>#REF!</v>
      </c>
      <c r="F49" s="125" t="e">
        <f t="shared" si="14"/>
        <v>#REF!</v>
      </c>
      <c r="G49" s="125" t="e">
        <f t="shared" si="15"/>
        <v>#REF!</v>
      </c>
      <c r="H49" s="125" t="e">
        <f t="shared" si="16"/>
        <v>#REF!</v>
      </c>
      <c r="I49" s="125" t="e">
        <f t="shared" si="17"/>
        <v>#REF!</v>
      </c>
    </row>
    <row r="50" spans="1:9" x14ac:dyDescent="0.25">
      <c r="A50">
        <f>'Credit Calculator '!B34</f>
        <v>0</v>
      </c>
      <c r="B50">
        <f>'Credit Calculator '!D34</f>
        <v>0</v>
      </c>
      <c r="C50">
        <f>'Credit Calculator '!P34</f>
        <v>0</v>
      </c>
      <c r="D50" s="125" t="e">
        <f t="shared" si="12"/>
        <v>#DIV/0!</v>
      </c>
      <c r="E50" s="125" t="e">
        <f t="shared" si="13"/>
        <v>#DIV/0!</v>
      </c>
      <c r="F50" s="125" t="e">
        <f t="shared" si="14"/>
        <v>#DIV/0!</v>
      </c>
      <c r="G50" s="125" t="e">
        <f t="shared" si="15"/>
        <v>#DIV/0!</v>
      </c>
      <c r="H50" s="125" t="e">
        <f t="shared" si="16"/>
        <v>#DIV/0!</v>
      </c>
      <c r="I50" s="125" t="e">
        <f t="shared" si="17"/>
        <v>#DIV/0!</v>
      </c>
    </row>
    <row r="51" spans="1:9" x14ac:dyDescent="0.25">
      <c r="A51">
        <f>'Credit Calculator '!B35</f>
        <v>0</v>
      </c>
      <c r="B51">
        <f>'Credit Calculator '!D35</f>
        <v>0</v>
      </c>
      <c r="C51">
        <f>'Credit Calculator '!P35</f>
        <v>0</v>
      </c>
      <c r="D51" s="125" t="e">
        <f t="shared" si="12"/>
        <v>#DIV/0!</v>
      </c>
      <c r="E51" s="125" t="e">
        <f t="shared" si="13"/>
        <v>#DIV/0!</v>
      </c>
      <c r="F51" s="125" t="e">
        <f t="shared" si="14"/>
        <v>#DIV/0!</v>
      </c>
      <c r="G51" s="125" t="e">
        <f t="shared" si="15"/>
        <v>#DIV/0!</v>
      </c>
      <c r="H51" s="125" t="e">
        <f t="shared" si="16"/>
        <v>#DIV/0!</v>
      </c>
      <c r="I51" s="125" t="e">
        <f t="shared" si="17"/>
        <v>#DIV/0!</v>
      </c>
    </row>
    <row r="52" spans="1:9" x14ac:dyDescent="0.25">
      <c r="A52">
        <f>'Credit Calculator '!B36</f>
        <v>0</v>
      </c>
      <c r="B52">
        <f>'Credit Calculator '!D36</f>
        <v>0</v>
      </c>
      <c r="C52">
        <f>'Credit Calculator '!P36</f>
        <v>0</v>
      </c>
      <c r="D52" s="125" t="e">
        <f t="shared" si="12"/>
        <v>#DIV/0!</v>
      </c>
      <c r="E52" s="125" t="e">
        <f t="shared" si="13"/>
        <v>#DIV/0!</v>
      </c>
      <c r="F52" s="125" t="e">
        <f t="shared" si="14"/>
        <v>#DIV/0!</v>
      </c>
      <c r="G52" s="125" t="e">
        <f t="shared" si="15"/>
        <v>#DIV/0!</v>
      </c>
      <c r="H52" s="125" t="e">
        <f t="shared" si="16"/>
        <v>#DIV/0!</v>
      </c>
      <c r="I52" s="125" t="e">
        <f t="shared" si="17"/>
        <v>#DIV/0!</v>
      </c>
    </row>
    <row r="53" spans="1:9" x14ac:dyDescent="0.25">
      <c r="A53">
        <f>'Credit Calculator '!B37</f>
        <v>0</v>
      </c>
      <c r="B53">
        <f>'Credit Calculator '!D37</f>
        <v>0</v>
      </c>
      <c r="C53">
        <f>'Credit Calculator '!P37</f>
        <v>0</v>
      </c>
      <c r="D53" s="125" t="e">
        <f t="shared" si="12"/>
        <v>#DIV/0!</v>
      </c>
      <c r="E53" s="125" t="e">
        <f t="shared" si="13"/>
        <v>#DIV/0!</v>
      </c>
      <c r="F53" s="125" t="e">
        <f t="shared" si="14"/>
        <v>#DIV/0!</v>
      </c>
      <c r="G53" s="125" t="e">
        <f t="shared" si="15"/>
        <v>#DIV/0!</v>
      </c>
      <c r="H53" s="125" t="e">
        <f t="shared" si="16"/>
        <v>#DIV/0!</v>
      </c>
      <c r="I53" s="125" t="e">
        <f t="shared" si="17"/>
        <v>#DIV/0!</v>
      </c>
    </row>
    <row r="54" spans="1:9" x14ac:dyDescent="0.25">
      <c r="A54">
        <f>'Credit Calculator '!B38</f>
        <v>0</v>
      </c>
      <c r="B54">
        <f>'Credit Calculator '!D38</f>
        <v>0</v>
      </c>
      <c r="C54">
        <f>'Credit Calculator '!P38</f>
        <v>0</v>
      </c>
      <c r="D54" s="125" t="e">
        <f t="shared" si="12"/>
        <v>#DIV/0!</v>
      </c>
      <c r="E54" s="125" t="e">
        <f t="shared" si="13"/>
        <v>#DIV/0!</v>
      </c>
      <c r="F54" s="125" t="e">
        <f t="shared" si="14"/>
        <v>#DIV/0!</v>
      </c>
      <c r="G54" s="125" t="e">
        <f t="shared" si="15"/>
        <v>#DIV/0!</v>
      </c>
      <c r="H54" s="125" t="e">
        <f t="shared" si="16"/>
        <v>#DIV/0!</v>
      </c>
      <c r="I54" s="125" t="e">
        <f t="shared" si="17"/>
        <v>#DIV/0!</v>
      </c>
    </row>
    <row r="55" spans="1:9" x14ac:dyDescent="0.25">
      <c r="A55">
        <f>'Credit Calculator '!B39</f>
        <v>0</v>
      </c>
      <c r="B55">
        <f>'Credit Calculator '!D39</f>
        <v>0</v>
      </c>
      <c r="C55">
        <f>'Credit Calculator '!P39</f>
        <v>0</v>
      </c>
      <c r="D55" s="125" t="e">
        <f t="shared" si="12"/>
        <v>#DIV/0!</v>
      </c>
      <c r="E55" s="125" t="e">
        <f t="shared" si="13"/>
        <v>#DIV/0!</v>
      </c>
      <c r="F55" s="125" t="e">
        <f t="shared" si="14"/>
        <v>#DIV/0!</v>
      </c>
      <c r="G55" s="125" t="e">
        <f t="shared" si="15"/>
        <v>#DIV/0!</v>
      </c>
      <c r="H55" s="125" t="e">
        <f t="shared" si="16"/>
        <v>#DIV/0!</v>
      </c>
      <c r="I55" s="125" t="e">
        <f t="shared" si="17"/>
        <v>#DIV/0!</v>
      </c>
    </row>
    <row r="56" spans="1:9" x14ac:dyDescent="0.25">
      <c r="A56">
        <f>'Credit Calculator '!B40</f>
        <v>0</v>
      </c>
      <c r="B56">
        <f>'Credit Calculator '!D40</f>
        <v>0</v>
      </c>
      <c r="C56">
        <f>'Credit Calculator '!P40</f>
        <v>0</v>
      </c>
      <c r="D56" s="125" t="e">
        <f t="shared" si="12"/>
        <v>#DIV/0!</v>
      </c>
      <c r="E56" s="125" t="e">
        <f t="shared" si="13"/>
        <v>#DIV/0!</v>
      </c>
      <c r="F56" s="125" t="e">
        <f t="shared" si="14"/>
        <v>#DIV/0!</v>
      </c>
      <c r="G56" s="125" t="e">
        <f t="shared" si="15"/>
        <v>#DIV/0!</v>
      </c>
      <c r="H56" s="125" t="e">
        <f t="shared" si="16"/>
        <v>#DIV/0!</v>
      </c>
      <c r="I56" s="125" t="e">
        <f t="shared" si="17"/>
        <v>#DIV/0!</v>
      </c>
    </row>
    <row r="57" spans="1:9" x14ac:dyDescent="0.25">
      <c r="A57">
        <f>'Credit Calculator '!B41</f>
        <v>0</v>
      </c>
      <c r="B57">
        <f>'Credit Calculator '!D41</f>
        <v>0</v>
      </c>
      <c r="C57">
        <f>'Credit Calculator '!P41</f>
        <v>0</v>
      </c>
      <c r="D57" s="125" t="e">
        <f t="shared" si="12"/>
        <v>#DIV/0!</v>
      </c>
      <c r="E57" s="125" t="e">
        <f t="shared" si="13"/>
        <v>#DIV/0!</v>
      </c>
      <c r="F57" s="125" t="e">
        <f t="shared" si="14"/>
        <v>#DIV/0!</v>
      </c>
      <c r="G57" s="125" t="e">
        <f t="shared" si="15"/>
        <v>#DIV/0!</v>
      </c>
      <c r="H57" s="125" t="e">
        <f t="shared" si="16"/>
        <v>#DIV/0!</v>
      </c>
      <c r="I57" s="125" t="e">
        <f t="shared" si="17"/>
        <v>#DIV/0!</v>
      </c>
    </row>
    <row r="58" spans="1:9" x14ac:dyDescent="0.25">
      <c r="A58">
        <f>'Credit Calculator '!B42</f>
        <v>0</v>
      </c>
      <c r="B58">
        <f>'Credit Calculator '!D42</f>
        <v>0</v>
      </c>
      <c r="C58">
        <f>'Credit Calculator '!P42</f>
        <v>0</v>
      </c>
      <c r="D58" s="125" t="e">
        <f t="shared" si="12"/>
        <v>#DIV/0!</v>
      </c>
      <c r="E58" s="125" t="e">
        <f t="shared" si="13"/>
        <v>#DIV/0!</v>
      </c>
      <c r="F58" s="125" t="e">
        <f t="shared" si="14"/>
        <v>#DIV/0!</v>
      </c>
      <c r="G58" s="125" t="e">
        <f t="shared" si="15"/>
        <v>#DIV/0!</v>
      </c>
      <c r="H58" s="125" t="e">
        <f t="shared" si="16"/>
        <v>#DIV/0!</v>
      </c>
      <c r="I58" s="125" t="e">
        <f t="shared" si="17"/>
        <v>#DIV/0!</v>
      </c>
    </row>
    <row r="59" spans="1:9" x14ac:dyDescent="0.25">
      <c r="A59">
        <f>'Credit Calculator '!B43</f>
        <v>0</v>
      </c>
      <c r="B59">
        <f>'Credit Calculator '!D43</f>
        <v>0</v>
      </c>
      <c r="C59">
        <f>'Credit Calculator '!P43</f>
        <v>0</v>
      </c>
      <c r="D59" s="125" t="e">
        <f t="shared" si="12"/>
        <v>#DIV/0!</v>
      </c>
      <c r="E59" s="125" t="e">
        <f t="shared" si="13"/>
        <v>#DIV/0!</v>
      </c>
      <c r="F59" s="125" t="e">
        <f t="shared" si="14"/>
        <v>#DIV/0!</v>
      </c>
      <c r="G59" s="125" t="e">
        <f t="shared" si="15"/>
        <v>#DIV/0!</v>
      </c>
      <c r="H59" s="125" t="e">
        <f t="shared" si="16"/>
        <v>#DIV/0!</v>
      </c>
      <c r="I59" s="125" t="e">
        <f t="shared" si="17"/>
        <v>#DIV/0!</v>
      </c>
    </row>
    <row r="60" spans="1:9" x14ac:dyDescent="0.25">
      <c r="A60">
        <f>'Credit Calculator '!B44</f>
        <v>0</v>
      </c>
      <c r="B60">
        <f>'Credit Calculator '!D44</f>
        <v>0</v>
      </c>
      <c r="C60">
        <f>'Credit Calculator '!P44</f>
        <v>0</v>
      </c>
      <c r="D60" s="125" t="e">
        <f t="shared" si="12"/>
        <v>#DIV/0!</v>
      </c>
      <c r="E60" s="125" t="e">
        <f t="shared" si="13"/>
        <v>#DIV/0!</v>
      </c>
      <c r="F60" s="125" t="e">
        <f t="shared" si="14"/>
        <v>#DIV/0!</v>
      </c>
      <c r="G60" s="125" t="e">
        <f t="shared" si="15"/>
        <v>#DIV/0!</v>
      </c>
      <c r="H60" s="125" t="e">
        <f t="shared" si="16"/>
        <v>#DIV/0!</v>
      </c>
      <c r="I60" s="125" t="e">
        <f t="shared" si="17"/>
        <v>#DIV/0!</v>
      </c>
    </row>
    <row r="61" spans="1:9" x14ac:dyDescent="0.25">
      <c r="A61">
        <f>'Credit Calculator '!B45</f>
        <v>0</v>
      </c>
      <c r="B61">
        <f>'Credit Calculator '!D45</f>
        <v>0</v>
      </c>
      <c r="C61">
        <f>'Credit Calculator '!P45</f>
        <v>0</v>
      </c>
      <c r="D61" s="125" t="e">
        <f t="shared" si="12"/>
        <v>#DIV/0!</v>
      </c>
      <c r="E61" s="125" t="e">
        <f t="shared" si="13"/>
        <v>#DIV/0!</v>
      </c>
      <c r="F61" s="125" t="e">
        <f t="shared" si="14"/>
        <v>#DIV/0!</v>
      </c>
      <c r="G61" s="125" t="e">
        <f t="shared" si="15"/>
        <v>#DIV/0!</v>
      </c>
      <c r="H61" s="125" t="e">
        <f t="shared" si="16"/>
        <v>#DIV/0!</v>
      </c>
      <c r="I61" s="125" t="e">
        <f t="shared" si="17"/>
        <v>#DIV/0!</v>
      </c>
    </row>
    <row r="62" spans="1:9" x14ac:dyDescent="0.25">
      <c r="A62">
        <f>'Credit Calculator '!B46</f>
        <v>0</v>
      </c>
      <c r="B62">
        <f>'Credit Calculator '!D46</f>
        <v>0</v>
      </c>
      <c r="C62">
        <f>'Credit Calculator '!P46</f>
        <v>0</v>
      </c>
      <c r="D62" s="125" t="e">
        <f t="shared" si="12"/>
        <v>#DIV/0!</v>
      </c>
      <c r="E62" s="125" t="e">
        <f t="shared" si="13"/>
        <v>#DIV/0!</v>
      </c>
      <c r="F62" s="125" t="e">
        <f t="shared" si="14"/>
        <v>#DIV/0!</v>
      </c>
      <c r="G62" s="125" t="e">
        <f t="shared" si="15"/>
        <v>#DIV/0!</v>
      </c>
      <c r="H62" s="125" t="e">
        <f t="shared" si="16"/>
        <v>#DIV/0!</v>
      </c>
      <c r="I62" s="125" t="e">
        <f t="shared" si="17"/>
        <v>#DIV/0!</v>
      </c>
    </row>
    <row r="63" spans="1:9" x14ac:dyDescent="0.25">
      <c r="A63" t="e">
        <f>'Credit Calculator '!#REF!</f>
        <v>#REF!</v>
      </c>
      <c r="B63" t="e">
        <f>'Credit Calculator '!#REF!</f>
        <v>#REF!</v>
      </c>
      <c r="C63" t="e">
        <f>'Credit Calculator '!#REF!</f>
        <v>#REF!</v>
      </c>
      <c r="D63" s="125" t="e">
        <f t="shared" si="12"/>
        <v>#REF!</v>
      </c>
      <c r="E63" s="125" t="e">
        <f t="shared" si="13"/>
        <v>#REF!</v>
      </c>
      <c r="F63" s="125" t="e">
        <f t="shared" si="14"/>
        <v>#REF!</v>
      </c>
      <c r="G63" s="125" t="e">
        <f t="shared" si="15"/>
        <v>#REF!</v>
      </c>
      <c r="H63" s="125" t="e">
        <f t="shared" si="16"/>
        <v>#REF!</v>
      </c>
      <c r="I63" s="125" t="e">
        <f t="shared" si="17"/>
        <v>#REF!</v>
      </c>
    </row>
    <row r="64" spans="1:9" x14ac:dyDescent="0.25">
      <c r="A64" t="e">
        <f>'Credit Calculator '!#REF!</f>
        <v>#REF!</v>
      </c>
      <c r="B64" t="e">
        <f>'Credit Calculator '!#REF!</f>
        <v>#REF!</v>
      </c>
      <c r="C64" t="e">
        <f>'Credit Calculator '!#REF!</f>
        <v>#REF!</v>
      </c>
      <c r="D64" s="125" t="e">
        <f t="shared" si="12"/>
        <v>#REF!</v>
      </c>
      <c r="E64" s="125" t="e">
        <f t="shared" si="13"/>
        <v>#REF!</v>
      </c>
      <c r="F64" s="125" t="e">
        <f t="shared" si="14"/>
        <v>#REF!</v>
      </c>
      <c r="G64" s="125" t="e">
        <f t="shared" si="15"/>
        <v>#REF!</v>
      </c>
      <c r="H64" s="125" t="e">
        <f t="shared" si="16"/>
        <v>#REF!</v>
      </c>
      <c r="I64" s="125" t="e">
        <f t="shared" si="17"/>
        <v>#REF!</v>
      </c>
    </row>
    <row r="65" spans="1:9" x14ac:dyDescent="0.25">
      <c r="A65" t="e">
        <f>'Credit Calculator '!#REF!</f>
        <v>#REF!</v>
      </c>
      <c r="B65" t="e">
        <f>'Credit Calculator '!#REF!</f>
        <v>#REF!</v>
      </c>
      <c r="C65" t="e">
        <f>'Credit Calculator '!#REF!</f>
        <v>#REF!</v>
      </c>
      <c r="D65" s="125" t="e">
        <f t="shared" si="12"/>
        <v>#REF!</v>
      </c>
      <c r="E65" s="125" t="e">
        <f t="shared" si="13"/>
        <v>#REF!</v>
      </c>
      <c r="F65" s="125" t="e">
        <f t="shared" si="14"/>
        <v>#REF!</v>
      </c>
      <c r="G65" s="125" t="e">
        <f t="shared" si="15"/>
        <v>#REF!</v>
      </c>
      <c r="H65" s="125" t="e">
        <f t="shared" si="16"/>
        <v>#REF!</v>
      </c>
      <c r="I65" s="125" t="e">
        <f t="shared" si="17"/>
        <v>#REF!</v>
      </c>
    </row>
    <row r="66" spans="1:9" x14ac:dyDescent="0.25">
      <c r="A66" t="e">
        <f>'Credit Calculator '!#REF!</f>
        <v>#REF!</v>
      </c>
      <c r="B66" t="e">
        <f>'Credit Calculator '!#REF!</f>
        <v>#REF!</v>
      </c>
      <c r="C66" t="e">
        <f>'Credit Calculator '!#REF!</f>
        <v>#REF!</v>
      </c>
      <c r="D66" s="125" t="e">
        <f t="shared" si="12"/>
        <v>#REF!</v>
      </c>
      <c r="E66" s="125" t="e">
        <f t="shared" si="13"/>
        <v>#REF!</v>
      </c>
      <c r="F66" s="125" t="e">
        <f t="shared" si="14"/>
        <v>#REF!</v>
      </c>
      <c r="G66" s="125" t="e">
        <f t="shared" si="15"/>
        <v>#REF!</v>
      </c>
      <c r="H66" s="125" t="e">
        <f t="shared" si="16"/>
        <v>#REF!</v>
      </c>
      <c r="I66" s="125" t="e">
        <f t="shared" si="17"/>
        <v>#REF!</v>
      </c>
    </row>
    <row r="67" spans="1:9" x14ac:dyDescent="0.25">
      <c r="A67" t="e">
        <f>'Credit Calculator '!#REF!</f>
        <v>#REF!</v>
      </c>
      <c r="B67" t="e">
        <f>'Credit Calculator '!#REF!</f>
        <v>#REF!</v>
      </c>
      <c r="C67" t="e">
        <f>'Credit Calculator '!#REF!</f>
        <v>#REF!</v>
      </c>
      <c r="D67" s="125" t="e">
        <f t="shared" si="12"/>
        <v>#REF!</v>
      </c>
      <c r="E67" s="125" t="e">
        <f t="shared" si="13"/>
        <v>#REF!</v>
      </c>
      <c r="F67" s="125" t="e">
        <f t="shared" si="14"/>
        <v>#REF!</v>
      </c>
      <c r="G67" s="125" t="e">
        <f t="shared" si="15"/>
        <v>#REF!</v>
      </c>
      <c r="H67" s="125" t="e">
        <f t="shared" si="16"/>
        <v>#REF!</v>
      </c>
      <c r="I67" s="125" t="e">
        <f t="shared" si="17"/>
        <v>#REF!</v>
      </c>
    </row>
    <row r="68" spans="1:9" x14ac:dyDescent="0.25">
      <c r="A68" t="e">
        <f>'Credit Calculator '!#REF!</f>
        <v>#REF!</v>
      </c>
      <c r="B68" t="e">
        <f>'Credit Calculator '!#REF!</f>
        <v>#REF!</v>
      </c>
      <c r="C68" t="e">
        <f>'Credit Calculator '!#REF!</f>
        <v>#REF!</v>
      </c>
      <c r="D68" s="125" t="e">
        <f t="shared" si="12"/>
        <v>#REF!</v>
      </c>
      <c r="E68" s="125" t="e">
        <f t="shared" si="13"/>
        <v>#REF!</v>
      </c>
      <c r="F68" s="125" t="e">
        <f t="shared" si="14"/>
        <v>#REF!</v>
      </c>
      <c r="G68" s="125" t="e">
        <f t="shared" si="15"/>
        <v>#REF!</v>
      </c>
      <c r="H68" s="125" t="e">
        <f t="shared" si="16"/>
        <v>#REF!</v>
      </c>
      <c r="I68" s="125" t="e">
        <f t="shared" si="17"/>
        <v>#REF!</v>
      </c>
    </row>
    <row r="69" spans="1:9" x14ac:dyDescent="0.25">
      <c r="A69" t="e">
        <f>'Credit Calculator '!#REF!</f>
        <v>#REF!</v>
      </c>
      <c r="B69" t="e">
        <f>'Credit Calculator '!#REF!</f>
        <v>#REF!</v>
      </c>
      <c r="C69" t="e">
        <f>'Credit Calculator '!#REF!</f>
        <v>#REF!</v>
      </c>
      <c r="D69" s="125" t="e">
        <f t="shared" si="12"/>
        <v>#REF!</v>
      </c>
      <c r="E69" s="125" t="e">
        <f t="shared" si="13"/>
        <v>#REF!</v>
      </c>
      <c r="F69" s="125" t="e">
        <f t="shared" si="14"/>
        <v>#REF!</v>
      </c>
      <c r="G69" s="125" t="e">
        <f t="shared" si="15"/>
        <v>#REF!</v>
      </c>
      <c r="H69" s="125" t="e">
        <f t="shared" si="16"/>
        <v>#REF!</v>
      </c>
      <c r="I69" s="125" t="e">
        <f t="shared" si="17"/>
        <v>#REF!</v>
      </c>
    </row>
    <row r="70" spans="1:9" x14ac:dyDescent="0.25">
      <c r="A70" t="e">
        <f>'Credit Calculator '!#REF!</f>
        <v>#REF!</v>
      </c>
      <c r="B70" t="e">
        <f>'Credit Calculator '!#REF!</f>
        <v>#REF!</v>
      </c>
      <c r="C70" t="e">
        <f>'Credit Calculator '!#REF!</f>
        <v>#REF!</v>
      </c>
      <c r="D70" s="125" t="e">
        <f t="shared" si="12"/>
        <v>#REF!</v>
      </c>
      <c r="E70" s="125" t="e">
        <f t="shared" si="13"/>
        <v>#REF!</v>
      </c>
      <c r="F70" s="125" t="e">
        <f t="shared" si="14"/>
        <v>#REF!</v>
      </c>
      <c r="G70" s="125" t="e">
        <f t="shared" si="15"/>
        <v>#REF!</v>
      </c>
      <c r="H70" s="125" t="e">
        <f t="shared" si="16"/>
        <v>#REF!</v>
      </c>
      <c r="I70" s="125" t="e">
        <f t="shared" si="17"/>
        <v>#REF!</v>
      </c>
    </row>
    <row r="71" spans="1:9" x14ac:dyDescent="0.25">
      <c r="A71" t="e">
        <f>'Credit Calculator '!#REF!</f>
        <v>#REF!</v>
      </c>
      <c r="B71" t="e">
        <f>'Credit Calculator '!#REF!</f>
        <v>#REF!</v>
      </c>
      <c r="C71" t="e">
        <f>'Credit Calculator '!#REF!</f>
        <v>#REF!</v>
      </c>
      <c r="D71" s="125" t="e">
        <f t="shared" si="12"/>
        <v>#REF!</v>
      </c>
      <c r="E71" s="125" t="e">
        <f t="shared" si="13"/>
        <v>#REF!</v>
      </c>
      <c r="F71" s="125" t="e">
        <f t="shared" si="14"/>
        <v>#REF!</v>
      </c>
      <c r="G71" s="125" t="e">
        <f t="shared" si="15"/>
        <v>#REF!</v>
      </c>
      <c r="H71" s="125" t="e">
        <f t="shared" si="16"/>
        <v>#REF!</v>
      </c>
      <c r="I71" s="125" t="e">
        <f t="shared" si="17"/>
        <v>#REF!</v>
      </c>
    </row>
    <row r="72" spans="1:9" x14ac:dyDescent="0.25">
      <c r="A72" t="e">
        <f>'Credit Calculator '!#REF!</f>
        <v>#REF!</v>
      </c>
      <c r="B72" t="e">
        <f>'Credit Calculator '!#REF!</f>
        <v>#REF!</v>
      </c>
      <c r="C72" t="e">
        <f>'Credit Calculator '!#REF!</f>
        <v>#REF!</v>
      </c>
      <c r="D72" s="125" t="e">
        <f t="shared" si="12"/>
        <v>#REF!</v>
      </c>
      <c r="E72" s="125" t="e">
        <f t="shared" si="13"/>
        <v>#REF!</v>
      </c>
      <c r="F72" s="125" t="e">
        <f t="shared" si="14"/>
        <v>#REF!</v>
      </c>
      <c r="G72" s="125" t="e">
        <f t="shared" si="15"/>
        <v>#REF!</v>
      </c>
      <c r="H72" s="125" t="e">
        <f t="shared" si="16"/>
        <v>#REF!</v>
      </c>
      <c r="I72" s="125" t="e">
        <f t="shared" si="17"/>
        <v>#REF!</v>
      </c>
    </row>
    <row r="73" spans="1:9" x14ac:dyDescent="0.25">
      <c r="A73" t="e">
        <f>'Credit Calculator '!#REF!</f>
        <v>#REF!</v>
      </c>
      <c r="B73" t="e">
        <f>'Credit Calculator '!#REF!</f>
        <v>#REF!</v>
      </c>
      <c r="C73" t="e">
        <f>'Credit Calculator '!#REF!</f>
        <v>#REF!</v>
      </c>
      <c r="D73" s="125" t="e">
        <f t="shared" si="12"/>
        <v>#REF!</v>
      </c>
      <c r="E73" s="125" t="e">
        <f t="shared" si="13"/>
        <v>#REF!</v>
      </c>
      <c r="F73" s="125" t="e">
        <f t="shared" si="14"/>
        <v>#REF!</v>
      </c>
      <c r="G73" s="125" t="e">
        <f t="shared" si="15"/>
        <v>#REF!</v>
      </c>
      <c r="H73" s="125" t="e">
        <f t="shared" si="16"/>
        <v>#REF!</v>
      </c>
      <c r="I73" s="125" t="e">
        <f t="shared" si="17"/>
        <v>#REF!</v>
      </c>
    </row>
    <row r="74" spans="1:9" x14ac:dyDescent="0.25">
      <c r="A74" t="e">
        <f>'Credit Calculator '!#REF!</f>
        <v>#REF!</v>
      </c>
      <c r="B74" t="e">
        <f>'Credit Calculator '!#REF!</f>
        <v>#REF!</v>
      </c>
      <c r="C74" t="e">
        <f>'Credit Calculator '!#REF!</f>
        <v>#REF!</v>
      </c>
      <c r="D74" s="125" t="e">
        <f t="shared" si="12"/>
        <v>#REF!</v>
      </c>
      <c r="E74" s="125" t="e">
        <f t="shared" si="13"/>
        <v>#REF!</v>
      </c>
      <c r="F74" s="125" t="e">
        <f t="shared" si="14"/>
        <v>#REF!</v>
      </c>
      <c r="G74" s="125" t="e">
        <f t="shared" si="15"/>
        <v>#REF!</v>
      </c>
      <c r="H74" s="125" t="e">
        <f t="shared" si="16"/>
        <v>#REF!</v>
      </c>
      <c r="I74" s="125" t="e">
        <f t="shared" si="17"/>
        <v>#REF!</v>
      </c>
    </row>
    <row r="75" spans="1:9" x14ac:dyDescent="0.25">
      <c r="A75" t="e">
        <f>'Credit Calculator '!#REF!</f>
        <v>#REF!</v>
      </c>
      <c r="B75" t="e">
        <f>'Credit Calculator '!#REF!</f>
        <v>#REF!</v>
      </c>
      <c r="C75" t="e">
        <f>'Credit Calculator '!#REF!</f>
        <v>#REF!</v>
      </c>
      <c r="D75" s="125" t="e">
        <f t="shared" si="12"/>
        <v>#REF!</v>
      </c>
      <c r="E75" s="125" t="e">
        <f t="shared" si="13"/>
        <v>#REF!</v>
      </c>
      <c r="F75" s="125" t="e">
        <f t="shared" si="14"/>
        <v>#REF!</v>
      </c>
      <c r="G75" s="125" t="e">
        <f t="shared" si="15"/>
        <v>#REF!</v>
      </c>
      <c r="H75" s="125" t="e">
        <f t="shared" si="16"/>
        <v>#REF!</v>
      </c>
      <c r="I75" s="125" t="e">
        <f t="shared" si="17"/>
        <v>#REF!</v>
      </c>
    </row>
    <row r="76" spans="1:9" x14ac:dyDescent="0.25">
      <c r="A76" t="e">
        <f>'Credit Calculator '!#REF!</f>
        <v>#REF!</v>
      </c>
      <c r="B76" t="e">
        <f>'Credit Calculator '!#REF!</f>
        <v>#REF!</v>
      </c>
      <c r="C76" t="e">
        <f>'Credit Calculator '!#REF!</f>
        <v>#REF!</v>
      </c>
      <c r="D76" s="125" t="e">
        <f t="shared" si="12"/>
        <v>#REF!</v>
      </c>
      <c r="E76" s="125" t="e">
        <f t="shared" si="13"/>
        <v>#REF!</v>
      </c>
      <c r="F76" s="125" t="e">
        <f t="shared" si="14"/>
        <v>#REF!</v>
      </c>
      <c r="G76" s="125" t="e">
        <f t="shared" si="15"/>
        <v>#REF!</v>
      </c>
      <c r="H76" s="125" t="e">
        <f t="shared" si="16"/>
        <v>#REF!</v>
      </c>
      <c r="I76" s="125" t="e">
        <f t="shared" si="17"/>
        <v>#REF!</v>
      </c>
    </row>
    <row r="77" spans="1:9" x14ac:dyDescent="0.25">
      <c r="A77" t="e">
        <f>'Credit Calculator '!#REF!</f>
        <v>#REF!</v>
      </c>
      <c r="B77" t="e">
        <f>'Credit Calculator '!#REF!</f>
        <v>#REF!</v>
      </c>
      <c r="C77" t="e">
        <f>'Credit Calculator '!#REF!</f>
        <v>#REF!</v>
      </c>
      <c r="D77" s="125" t="e">
        <f t="shared" si="12"/>
        <v>#REF!</v>
      </c>
      <c r="E77" s="125" t="e">
        <f t="shared" si="13"/>
        <v>#REF!</v>
      </c>
      <c r="F77" s="125" t="e">
        <f t="shared" si="14"/>
        <v>#REF!</v>
      </c>
      <c r="G77" s="125" t="e">
        <f t="shared" si="15"/>
        <v>#REF!</v>
      </c>
      <c r="H77" s="125" t="e">
        <f t="shared" si="16"/>
        <v>#REF!</v>
      </c>
      <c r="I77" s="125" t="e">
        <f t="shared" si="17"/>
        <v>#REF!</v>
      </c>
    </row>
    <row r="78" spans="1:9" x14ac:dyDescent="0.25">
      <c r="A78" t="e">
        <f>'Credit Calculator '!#REF!</f>
        <v>#REF!</v>
      </c>
      <c r="B78" t="e">
        <f>'Credit Calculator '!#REF!</f>
        <v>#REF!</v>
      </c>
      <c r="C78" t="e">
        <f>'Credit Calculator '!#REF!</f>
        <v>#REF!</v>
      </c>
      <c r="D78" s="125" t="e">
        <f t="shared" si="12"/>
        <v>#REF!</v>
      </c>
      <c r="E78" s="125" t="e">
        <f t="shared" si="13"/>
        <v>#REF!</v>
      </c>
      <c r="F78" s="125" t="e">
        <f t="shared" si="14"/>
        <v>#REF!</v>
      </c>
      <c r="G78" s="125" t="e">
        <f t="shared" si="15"/>
        <v>#REF!</v>
      </c>
      <c r="H78" s="125" t="e">
        <f t="shared" si="16"/>
        <v>#REF!</v>
      </c>
      <c r="I78" s="125" t="e">
        <f t="shared" si="17"/>
        <v>#REF!</v>
      </c>
    </row>
    <row r="79" spans="1:9" x14ac:dyDescent="0.25">
      <c r="A79" t="e">
        <f>'Credit Calculator '!#REF!</f>
        <v>#REF!</v>
      </c>
      <c r="B79" t="e">
        <f>'Credit Calculator '!#REF!</f>
        <v>#REF!</v>
      </c>
      <c r="C79" t="e">
        <f>'Credit Calculator '!#REF!</f>
        <v>#REF!</v>
      </c>
      <c r="D79" s="125" t="e">
        <f t="shared" si="12"/>
        <v>#REF!</v>
      </c>
      <c r="E79" s="125" t="e">
        <f t="shared" si="13"/>
        <v>#REF!</v>
      </c>
      <c r="F79" s="125" t="e">
        <f t="shared" si="14"/>
        <v>#REF!</v>
      </c>
      <c r="G79" s="125" t="e">
        <f t="shared" si="15"/>
        <v>#REF!</v>
      </c>
      <c r="H79" s="125" t="e">
        <f t="shared" si="16"/>
        <v>#REF!</v>
      </c>
      <c r="I79" s="125" t="e">
        <f t="shared" si="17"/>
        <v>#REF!</v>
      </c>
    </row>
    <row r="80" spans="1:9" x14ac:dyDescent="0.25">
      <c r="A80" t="e">
        <f>'Credit Calculator '!#REF!</f>
        <v>#REF!</v>
      </c>
      <c r="B80" t="e">
        <f>'Credit Calculator '!#REF!</f>
        <v>#REF!</v>
      </c>
      <c r="C80" t="e">
        <f>'Credit Calculator '!#REF!</f>
        <v>#REF!</v>
      </c>
      <c r="D80" s="125" t="e">
        <f t="shared" si="12"/>
        <v>#REF!</v>
      </c>
      <c r="E80" s="125" t="e">
        <f t="shared" si="13"/>
        <v>#REF!</v>
      </c>
      <c r="F80" s="125" t="e">
        <f t="shared" si="14"/>
        <v>#REF!</v>
      </c>
      <c r="G80" s="125" t="e">
        <f t="shared" si="15"/>
        <v>#REF!</v>
      </c>
      <c r="H80" s="125" t="e">
        <f t="shared" si="16"/>
        <v>#REF!</v>
      </c>
      <c r="I80" s="125" t="e">
        <f t="shared" si="17"/>
        <v>#REF!</v>
      </c>
    </row>
    <row r="81" spans="1:9" x14ac:dyDescent="0.25">
      <c r="A81" t="e">
        <f>'Credit Calculator '!#REF!</f>
        <v>#REF!</v>
      </c>
      <c r="B81" t="e">
        <f>'Credit Calculator '!#REF!</f>
        <v>#REF!</v>
      </c>
      <c r="C81" t="e">
        <f>'Credit Calculator '!#REF!</f>
        <v>#REF!</v>
      </c>
      <c r="D81" s="125" t="e">
        <f t="shared" ref="D81:D91" si="18">ROUND(21.352*(0.15/C81)^-0.998,1)</f>
        <v>#REF!</v>
      </c>
      <c r="E81" s="125" t="e">
        <f t="shared" ref="E81:E91" si="19">ROUND(49.988*(0.15/C81)^-0.984,1)</f>
        <v>#REF!</v>
      </c>
      <c r="F81" s="125" t="e">
        <f t="shared" ref="F81:F91" si="20">ROUND((38.0708*(2^0.2081))/((12.1177+$D81)^0.8395),2)</f>
        <v>#REF!</v>
      </c>
      <c r="G81" s="125" t="e">
        <f t="shared" ref="G81:G91" si="21">ROUND((38.0708*(100^0.2081))/((12.1177+$E81)^0.8395),2)</f>
        <v>#REF!</v>
      </c>
      <c r="H81" s="125" t="e">
        <f t="shared" ref="H81:H91" si="22">ROUND((60.5*D81*C81*B81*F81-(60*E81*0.15*B81)),2)</f>
        <v>#REF!</v>
      </c>
      <c r="I81" s="125" t="e">
        <f t="shared" ref="I81:I91" si="23">ROUND(60.5*E81*C81*B81*G81-(60*E81*0.15*B81),2)</f>
        <v>#REF!</v>
      </c>
    </row>
    <row r="82" spans="1:9" x14ac:dyDescent="0.25">
      <c r="A82" t="e">
        <f>'Credit Calculator '!#REF!</f>
        <v>#REF!</v>
      </c>
      <c r="B82" t="e">
        <f>'Credit Calculator '!#REF!</f>
        <v>#REF!</v>
      </c>
      <c r="C82" t="e">
        <f>'Credit Calculator '!#REF!</f>
        <v>#REF!</v>
      </c>
      <c r="D82" s="125" t="e">
        <f t="shared" si="18"/>
        <v>#REF!</v>
      </c>
      <c r="E82" s="125" t="e">
        <f t="shared" si="19"/>
        <v>#REF!</v>
      </c>
      <c r="F82" s="125" t="e">
        <f t="shared" si="20"/>
        <v>#REF!</v>
      </c>
      <c r="G82" s="125" t="e">
        <f t="shared" si="21"/>
        <v>#REF!</v>
      </c>
      <c r="H82" s="125" t="e">
        <f t="shared" si="22"/>
        <v>#REF!</v>
      </c>
      <c r="I82" s="125" t="e">
        <f t="shared" si="23"/>
        <v>#REF!</v>
      </c>
    </row>
    <row r="83" spans="1:9" x14ac:dyDescent="0.25">
      <c r="A83" t="e">
        <f>'Credit Calculator '!#REF!</f>
        <v>#REF!</v>
      </c>
      <c r="B83" t="e">
        <f>'Credit Calculator '!#REF!</f>
        <v>#REF!</v>
      </c>
      <c r="C83" t="e">
        <f>'Credit Calculator '!#REF!</f>
        <v>#REF!</v>
      </c>
      <c r="D83" s="125" t="e">
        <f t="shared" si="18"/>
        <v>#REF!</v>
      </c>
      <c r="E83" s="125" t="e">
        <f t="shared" si="19"/>
        <v>#REF!</v>
      </c>
      <c r="F83" s="125" t="e">
        <f t="shared" si="20"/>
        <v>#REF!</v>
      </c>
      <c r="G83" s="125" t="e">
        <f t="shared" si="21"/>
        <v>#REF!</v>
      </c>
      <c r="H83" s="125" t="e">
        <f t="shared" si="22"/>
        <v>#REF!</v>
      </c>
      <c r="I83" s="125" t="e">
        <f t="shared" si="23"/>
        <v>#REF!</v>
      </c>
    </row>
    <row r="84" spans="1:9" x14ac:dyDescent="0.25">
      <c r="A84">
        <f>'Credit Calculator '!B47</f>
        <v>0</v>
      </c>
      <c r="B84">
        <f>'Credit Calculator '!D47</f>
        <v>0</v>
      </c>
      <c r="C84">
        <f>'Credit Calculator '!P47</f>
        <v>0</v>
      </c>
      <c r="D84" s="125" t="e">
        <f t="shared" si="18"/>
        <v>#DIV/0!</v>
      </c>
      <c r="E84" s="125" t="e">
        <f t="shared" si="19"/>
        <v>#DIV/0!</v>
      </c>
      <c r="F84" s="125" t="e">
        <f t="shared" si="20"/>
        <v>#DIV/0!</v>
      </c>
      <c r="G84" s="125" t="e">
        <f t="shared" si="21"/>
        <v>#DIV/0!</v>
      </c>
      <c r="H84" s="125" t="e">
        <f t="shared" si="22"/>
        <v>#DIV/0!</v>
      </c>
      <c r="I84" s="125" t="e">
        <f t="shared" si="23"/>
        <v>#DIV/0!</v>
      </c>
    </row>
    <row r="85" spans="1:9" x14ac:dyDescent="0.25">
      <c r="A85">
        <f>'Credit Calculator '!B48</f>
        <v>0</v>
      </c>
      <c r="B85">
        <f>'Credit Calculator '!D48</f>
        <v>0</v>
      </c>
      <c r="C85">
        <f>'Credit Calculator '!P48</f>
        <v>0</v>
      </c>
      <c r="D85" s="125" t="e">
        <f t="shared" si="18"/>
        <v>#DIV/0!</v>
      </c>
      <c r="E85" s="125" t="e">
        <f t="shared" si="19"/>
        <v>#DIV/0!</v>
      </c>
      <c r="F85" s="125" t="e">
        <f t="shared" si="20"/>
        <v>#DIV/0!</v>
      </c>
      <c r="G85" s="125" t="e">
        <f t="shared" si="21"/>
        <v>#DIV/0!</v>
      </c>
      <c r="H85" s="125" t="e">
        <f t="shared" si="22"/>
        <v>#DIV/0!</v>
      </c>
      <c r="I85" s="125" t="e">
        <f t="shared" si="23"/>
        <v>#DIV/0!</v>
      </c>
    </row>
    <row r="86" spans="1:9" x14ac:dyDescent="0.25">
      <c r="A86">
        <f>'Credit Calculator '!B49</f>
        <v>0</v>
      </c>
      <c r="B86">
        <f>'Credit Calculator '!D49</f>
        <v>0</v>
      </c>
      <c r="C86">
        <f>'Credit Calculator '!P49</f>
        <v>0</v>
      </c>
      <c r="D86" s="125" t="e">
        <f t="shared" si="18"/>
        <v>#DIV/0!</v>
      </c>
      <c r="E86" s="125" t="e">
        <f t="shared" si="19"/>
        <v>#DIV/0!</v>
      </c>
      <c r="F86" s="125" t="e">
        <f t="shared" si="20"/>
        <v>#DIV/0!</v>
      </c>
      <c r="G86" s="125" t="e">
        <f t="shared" si="21"/>
        <v>#DIV/0!</v>
      </c>
      <c r="H86" s="125" t="e">
        <f t="shared" si="22"/>
        <v>#DIV/0!</v>
      </c>
      <c r="I86" s="125" t="e">
        <f t="shared" si="23"/>
        <v>#DIV/0!</v>
      </c>
    </row>
    <row r="87" spans="1:9" x14ac:dyDescent="0.25">
      <c r="A87">
        <f>'Credit Calculator '!B50</f>
        <v>0</v>
      </c>
      <c r="B87">
        <f>'Credit Calculator '!D50</f>
        <v>0</v>
      </c>
      <c r="C87">
        <f>'Credit Calculator '!P50</f>
        <v>0</v>
      </c>
      <c r="D87" s="125" t="e">
        <f t="shared" si="18"/>
        <v>#DIV/0!</v>
      </c>
      <c r="E87" s="125" t="e">
        <f t="shared" si="19"/>
        <v>#DIV/0!</v>
      </c>
      <c r="F87" s="125" t="e">
        <f t="shared" si="20"/>
        <v>#DIV/0!</v>
      </c>
      <c r="G87" s="125" t="e">
        <f t="shared" si="21"/>
        <v>#DIV/0!</v>
      </c>
      <c r="H87" s="125" t="e">
        <f t="shared" si="22"/>
        <v>#DIV/0!</v>
      </c>
      <c r="I87" s="125" t="e">
        <f t="shared" si="23"/>
        <v>#DIV/0!</v>
      </c>
    </row>
    <row r="88" spans="1:9" x14ac:dyDescent="0.25">
      <c r="A88">
        <f>'Credit Calculator '!B51</f>
        <v>0</v>
      </c>
      <c r="B88">
        <f>'Credit Calculator '!D51</f>
        <v>0</v>
      </c>
      <c r="C88">
        <f>'Credit Calculator '!P51</f>
        <v>0</v>
      </c>
      <c r="D88" s="125" t="e">
        <f t="shared" si="18"/>
        <v>#DIV/0!</v>
      </c>
      <c r="E88" s="125" t="e">
        <f t="shared" si="19"/>
        <v>#DIV/0!</v>
      </c>
      <c r="F88" s="125" t="e">
        <f t="shared" si="20"/>
        <v>#DIV/0!</v>
      </c>
      <c r="G88" s="125" t="e">
        <f t="shared" si="21"/>
        <v>#DIV/0!</v>
      </c>
      <c r="H88" s="125" t="e">
        <f t="shared" si="22"/>
        <v>#DIV/0!</v>
      </c>
      <c r="I88" s="125" t="e">
        <f t="shared" si="23"/>
        <v>#DIV/0!</v>
      </c>
    </row>
    <row r="89" spans="1:9" x14ac:dyDescent="0.25">
      <c r="A89">
        <f>'Credit Calculator '!B52</f>
        <v>0</v>
      </c>
      <c r="B89">
        <f>'Credit Calculator '!D52</f>
        <v>0</v>
      </c>
      <c r="C89">
        <f>'Credit Calculator '!P52</f>
        <v>0</v>
      </c>
      <c r="D89" s="125" t="e">
        <f t="shared" si="18"/>
        <v>#DIV/0!</v>
      </c>
      <c r="E89" s="125" t="e">
        <f t="shared" si="19"/>
        <v>#DIV/0!</v>
      </c>
      <c r="F89" s="125" t="e">
        <f t="shared" si="20"/>
        <v>#DIV/0!</v>
      </c>
      <c r="G89" s="125" t="e">
        <f t="shared" si="21"/>
        <v>#DIV/0!</v>
      </c>
      <c r="H89" s="125" t="e">
        <f t="shared" si="22"/>
        <v>#DIV/0!</v>
      </c>
      <c r="I89" s="125" t="e">
        <f t="shared" si="23"/>
        <v>#DIV/0!</v>
      </c>
    </row>
    <row r="90" spans="1:9" x14ac:dyDescent="0.25">
      <c r="A90">
        <f>'Credit Calculator '!B53</f>
        <v>0</v>
      </c>
      <c r="B90">
        <f>'Credit Calculator '!D53</f>
        <v>0</v>
      </c>
      <c r="C90">
        <f>'Credit Calculator '!P53</f>
        <v>0</v>
      </c>
      <c r="D90" s="125" t="e">
        <f t="shared" si="18"/>
        <v>#DIV/0!</v>
      </c>
      <c r="E90" s="125" t="e">
        <f t="shared" si="19"/>
        <v>#DIV/0!</v>
      </c>
      <c r="F90" s="125" t="e">
        <f t="shared" si="20"/>
        <v>#DIV/0!</v>
      </c>
      <c r="G90" s="125" t="e">
        <f t="shared" si="21"/>
        <v>#DIV/0!</v>
      </c>
      <c r="H90" s="125" t="e">
        <f t="shared" si="22"/>
        <v>#DIV/0!</v>
      </c>
      <c r="I90" s="125" t="e">
        <f t="shared" si="23"/>
        <v>#DIV/0!</v>
      </c>
    </row>
    <row r="91" spans="1:9" x14ac:dyDescent="0.25">
      <c r="A91">
        <f>'Credit Calculator '!B54</f>
        <v>0</v>
      </c>
      <c r="B91">
        <f>'Credit Calculator '!D54</f>
        <v>0</v>
      </c>
      <c r="C91">
        <f>'Credit Calculator '!P54</f>
        <v>0</v>
      </c>
      <c r="D91" s="125" t="e">
        <f t="shared" si="18"/>
        <v>#DIV/0!</v>
      </c>
      <c r="E91" s="125" t="e">
        <f t="shared" si="19"/>
        <v>#DIV/0!</v>
      </c>
      <c r="F91" s="125" t="e">
        <f t="shared" si="20"/>
        <v>#DIV/0!</v>
      </c>
      <c r="G91" s="125" t="e">
        <f t="shared" si="21"/>
        <v>#DIV/0!</v>
      </c>
      <c r="H91" s="125" t="e">
        <f t="shared" si="22"/>
        <v>#DIV/0!</v>
      </c>
      <c r="I91" s="125" t="e">
        <f t="shared" si="23"/>
        <v>#DIV/0!</v>
      </c>
    </row>
  </sheetData>
  <sheetProtection algorithmName="SHA-512" hashValue="QhZlrkl60/ulxbxxiiy0b3DVZB9bn2MNiSLrML63Ij4QUw1w4CuUpxRf0aELlPvIMqYCJar4ufueJOUvUhrWjw==" saltValue="mPkMqkUxcPot/FC8wW1o1g==" spinCount="100000" sheet="1" objects="1" scenarios="1"/>
  <mergeCells count="3">
    <mergeCell ref="A1:I1"/>
    <mergeCell ref="A15:I15"/>
    <mergeCell ref="A8:I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51"/>
  <sheetViews>
    <sheetView showGridLines="0" zoomScaleNormal="100" zoomScalePageLayoutView="80" workbookViewId="0">
      <selection activeCell="D36" sqref="D36"/>
    </sheetView>
  </sheetViews>
  <sheetFormatPr defaultRowHeight="15" x14ac:dyDescent="0.25"/>
  <cols>
    <col min="2" max="2" width="27.5703125" customWidth="1"/>
    <col min="3" max="3" width="10.7109375" customWidth="1"/>
    <col min="4" max="4" width="15.7109375" customWidth="1"/>
    <col min="5" max="5" width="10.7109375" customWidth="1"/>
    <col min="6" max="6" width="15.7109375" customWidth="1"/>
  </cols>
  <sheetData>
    <row r="1" spans="1:10" ht="20.25" thickBot="1" x14ac:dyDescent="0.35">
      <c r="A1" s="17" t="s">
        <v>13</v>
      </c>
      <c r="B1" s="17"/>
      <c r="C1" s="17"/>
      <c r="D1" s="17"/>
      <c r="E1" s="17"/>
      <c r="F1" s="17"/>
    </row>
    <row r="2" spans="1:10" ht="17.25" thickTop="1" x14ac:dyDescent="0.3">
      <c r="A2" s="19"/>
      <c r="B2" s="19"/>
      <c r="C2" s="19"/>
      <c r="D2" s="19"/>
      <c r="E2" s="19"/>
      <c r="F2" s="19"/>
    </row>
    <row r="3" spans="1:10" ht="16.5" x14ac:dyDescent="0.3">
      <c r="A3" s="19" t="s">
        <v>7</v>
      </c>
      <c r="B3" s="19"/>
      <c r="C3" s="19"/>
      <c r="D3" s="19"/>
      <c r="E3" s="19"/>
      <c r="F3" s="19"/>
    </row>
    <row r="4" spans="1:10" ht="16.5" x14ac:dyDescent="0.3">
      <c r="A4" s="19"/>
      <c r="B4" s="19"/>
      <c r="C4" s="19"/>
      <c r="D4" s="19"/>
      <c r="E4" s="19"/>
      <c r="F4" s="19"/>
    </row>
    <row r="5" spans="1:10" ht="18" thickBot="1" x14ac:dyDescent="0.35">
      <c r="A5" s="20" t="s">
        <v>8</v>
      </c>
      <c r="B5" s="20"/>
      <c r="C5" s="20"/>
      <c r="D5" s="20"/>
      <c r="E5" s="20"/>
      <c r="F5" s="20"/>
    </row>
    <row r="6" spans="1:10" ht="17.25" thickTop="1" x14ac:dyDescent="0.3">
      <c r="A6" s="19"/>
      <c r="B6" s="19" t="s">
        <v>9</v>
      </c>
      <c r="C6" s="39">
        <v>2</v>
      </c>
      <c r="D6" s="19" t="s">
        <v>11</v>
      </c>
      <c r="E6" s="45">
        <f>C6*43560</f>
        <v>87120</v>
      </c>
      <c r="F6" s="19" t="s">
        <v>12</v>
      </c>
    </row>
    <row r="7" spans="1:10" ht="17.25" x14ac:dyDescent="0.3">
      <c r="A7" s="19"/>
      <c r="B7" s="19" t="s">
        <v>10</v>
      </c>
      <c r="C7" s="46">
        <v>43560</v>
      </c>
      <c r="D7" s="19" t="s">
        <v>12</v>
      </c>
      <c r="E7" s="40">
        <f>C7/43560</f>
        <v>1</v>
      </c>
      <c r="F7" s="19" t="s">
        <v>11</v>
      </c>
      <c r="J7" s="31"/>
    </row>
    <row r="8" spans="1:10" ht="16.5" x14ac:dyDescent="0.3">
      <c r="A8" s="19"/>
      <c r="B8" s="19"/>
      <c r="C8" s="19"/>
      <c r="D8" s="19"/>
      <c r="E8" s="19"/>
      <c r="F8" s="19"/>
    </row>
    <row r="46" spans="1:17" x14ac:dyDescent="0.25">
      <c r="H46" s="160"/>
      <c r="I46" s="160"/>
      <c r="J46" s="160"/>
      <c r="K46" s="160"/>
      <c r="L46" s="160"/>
      <c r="M46" s="160"/>
      <c r="N46" s="160"/>
      <c r="O46" s="160"/>
      <c r="P46" s="160"/>
    </row>
    <row r="47" spans="1:17" ht="18" thickBot="1" x14ac:dyDescent="0.35">
      <c r="A47" s="144" t="s">
        <v>83</v>
      </c>
      <c r="B47" s="145"/>
      <c r="C47" s="145"/>
      <c r="D47" s="146"/>
      <c r="E47" s="145"/>
      <c r="F47" s="145"/>
      <c r="G47" s="145"/>
      <c r="H47" s="160"/>
      <c r="I47" s="160"/>
      <c r="J47" s="160"/>
      <c r="K47" s="160"/>
      <c r="L47" s="160"/>
      <c r="M47" s="160"/>
      <c r="N47" s="160"/>
      <c r="O47" s="160"/>
      <c r="P47" s="160"/>
      <c r="Q47" s="84"/>
    </row>
    <row r="48" spans="1:17" ht="15" customHeight="1" thickTop="1" x14ac:dyDescent="0.25">
      <c r="A48" s="200" t="s">
        <v>137</v>
      </c>
      <c r="B48" s="200"/>
      <c r="C48" s="200"/>
      <c r="D48" s="200"/>
      <c r="E48" s="200"/>
      <c r="F48" s="200"/>
      <c r="G48" s="200"/>
      <c r="H48" s="160"/>
      <c r="I48" s="160"/>
      <c r="J48" s="160"/>
      <c r="K48" s="160"/>
      <c r="L48" s="160"/>
      <c r="M48" s="160"/>
      <c r="N48" s="160"/>
      <c r="O48" s="160"/>
      <c r="P48" s="160"/>
      <c r="Q48" s="162"/>
    </row>
    <row r="49" spans="1:17" ht="14.45" customHeight="1" x14ac:dyDescent="0.25">
      <c r="A49" s="201"/>
      <c r="B49" s="201"/>
      <c r="C49" s="201"/>
      <c r="D49" s="201"/>
      <c r="E49" s="201"/>
      <c r="F49" s="201"/>
      <c r="G49" s="201"/>
      <c r="H49" s="160"/>
      <c r="I49" s="160"/>
      <c r="J49" s="160"/>
      <c r="K49" s="160"/>
      <c r="L49" s="160"/>
      <c r="M49" s="160"/>
      <c r="N49" s="160"/>
      <c r="O49" s="160"/>
      <c r="P49" s="160"/>
      <c r="Q49" s="162"/>
    </row>
    <row r="50" spans="1:17" x14ac:dyDescent="0.25">
      <c r="A50" s="201"/>
      <c r="B50" s="201"/>
      <c r="C50" s="201"/>
      <c r="D50" s="201"/>
      <c r="E50" s="201"/>
      <c r="F50" s="201"/>
      <c r="G50" s="201"/>
      <c r="H50" s="160"/>
      <c r="I50" s="160"/>
      <c r="J50" s="160"/>
      <c r="K50" s="160"/>
      <c r="L50" s="160"/>
      <c r="M50" s="160"/>
      <c r="N50" s="160"/>
      <c r="O50" s="160"/>
      <c r="P50" s="160"/>
    </row>
    <row r="51" spans="1:17" x14ac:dyDescent="0.25">
      <c r="A51" s="201"/>
      <c r="B51" s="201"/>
      <c r="C51" s="201"/>
      <c r="D51" s="201"/>
      <c r="E51" s="201"/>
      <c r="F51" s="201"/>
      <c r="G51" s="201"/>
    </row>
  </sheetData>
  <mergeCells count="1">
    <mergeCell ref="A48:G51"/>
  </mergeCells>
  <pageMargins left="0.7" right="0.7" top="0.75" bottom="0.75" header="0.3" footer="0.3"/>
  <pageSetup paperSize="303" scale="80" orientation="landscape" r:id="rId1"/>
  <headerFooter>
    <oddFooter>&amp;C&amp;K00-020DWSD Drainage Credit Calculator- Draft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Z66"/>
  <sheetViews>
    <sheetView showGridLines="0" zoomScale="80" zoomScaleNormal="80" zoomScalePageLayoutView="80" workbookViewId="0">
      <selection activeCell="Q5" sqref="Q5"/>
    </sheetView>
  </sheetViews>
  <sheetFormatPr defaultRowHeight="15" x14ac:dyDescent="0.25"/>
  <cols>
    <col min="9" max="9" width="11.7109375" customWidth="1"/>
  </cols>
  <sheetData>
    <row r="1" spans="1:26" ht="20.25" thickBot="1" x14ac:dyDescent="0.35">
      <c r="A1" s="17" t="s">
        <v>80</v>
      </c>
      <c r="B1" s="17"/>
      <c r="C1" s="17"/>
      <c r="D1" s="17"/>
      <c r="E1" s="17"/>
      <c r="F1" s="17"/>
      <c r="G1" s="17"/>
      <c r="H1" s="17"/>
      <c r="I1" s="17"/>
      <c r="J1" s="17"/>
      <c r="K1" s="17"/>
      <c r="L1" s="17"/>
      <c r="M1" s="17"/>
    </row>
    <row r="2" spans="1:26" ht="15" customHeight="1" thickTop="1" x14ac:dyDescent="0.3">
      <c r="A2" s="202" t="s">
        <v>147</v>
      </c>
      <c r="B2" s="202"/>
      <c r="C2" s="202"/>
      <c r="D2" s="202"/>
      <c r="E2" s="202"/>
      <c r="F2" s="202"/>
      <c r="G2" s="202"/>
      <c r="H2" s="202"/>
      <c r="I2" s="202"/>
      <c r="J2" s="19"/>
      <c r="K2" s="19"/>
      <c r="L2" s="19"/>
      <c r="M2" s="19"/>
    </row>
    <row r="3" spans="1:26" ht="55.9" customHeight="1" x14ac:dyDescent="0.3">
      <c r="A3" s="203"/>
      <c r="B3" s="203"/>
      <c r="C3" s="203"/>
      <c r="D3" s="203"/>
      <c r="E3" s="203"/>
      <c r="F3" s="203"/>
      <c r="G3" s="203"/>
      <c r="H3" s="203"/>
      <c r="I3" s="203"/>
      <c r="J3" s="19"/>
      <c r="K3" s="19"/>
      <c r="L3" s="19"/>
      <c r="M3" s="19"/>
    </row>
    <row r="4" spans="1:26" ht="18" thickBot="1" x14ac:dyDescent="0.35">
      <c r="A4" s="20" t="s">
        <v>146</v>
      </c>
      <c r="B4" s="1"/>
      <c r="C4" s="1"/>
      <c r="D4" s="1"/>
      <c r="E4" s="1"/>
      <c r="F4" s="1"/>
      <c r="G4" s="1"/>
      <c r="H4" s="1"/>
      <c r="I4" s="1"/>
      <c r="J4" s="1"/>
      <c r="K4" s="1"/>
      <c r="L4" s="1"/>
      <c r="M4" s="1"/>
    </row>
    <row r="5" spans="1:26" ht="17.25" thickTop="1" x14ac:dyDescent="0.3">
      <c r="A5" s="19"/>
      <c r="B5" s="19"/>
      <c r="C5" s="19"/>
      <c r="D5" s="19"/>
      <c r="E5" s="19"/>
      <c r="F5" s="19"/>
      <c r="G5" s="19"/>
      <c r="H5" s="19"/>
      <c r="I5" s="19"/>
      <c r="J5" s="19"/>
      <c r="K5" s="19"/>
      <c r="L5" s="19"/>
      <c r="M5" s="19"/>
    </row>
    <row r="6" spans="1:26" ht="28.15" customHeight="1" x14ac:dyDescent="0.3">
      <c r="A6" s="191" t="s">
        <v>202</v>
      </c>
      <c r="B6" s="191"/>
      <c r="C6" s="191"/>
      <c r="D6" s="191"/>
      <c r="E6" s="191"/>
      <c r="F6" s="191"/>
      <c r="G6" s="191"/>
      <c r="H6" s="191"/>
      <c r="I6" s="191"/>
      <c r="J6" s="191"/>
      <c r="K6" s="191"/>
      <c r="L6" s="191"/>
      <c r="M6" s="191"/>
      <c r="O6" s="19"/>
      <c r="P6" s="19"/>
      <c r="Q6" s="19"/>
      <c r="R6" s="19"/>
      <c r="S6" s="19"/>
      <c r="T6" s="19"/>
      <c r="U6" s="19"/>
      <c r="V6" s="19"/>
      <c r="W6" s="19"/>
      <c r="X6" s="19"/>
      <c r="Y6" s="19"/>
      <c r="Z6" s="19"/>
    </row>
    <row r="7" spans="1:26" s="16" customFormat="1" ht="3" customHeight="1" x14ac:dyDescent="0.3">
      <c r="N7" s="43"/>
      <c r="O7" s="19"/>
      <c r="P7" s="19"/>
      <c r="Q7" s="19"/>
      <c r="R7" s="19"/>
      <c r="S7" s="19"/>
      <c r="T7" s="19"/>
      <c r="U7" s="19"/>
      <c r="V7" s="19"/>
      <c r="W7" s="31"/>
      <c r="X7" s="19"/>
      <c r="Y7" s="19"/>
      <c r="Z7" s="19"/>
    </row>
    <row r="8" spans="1:26" s="64" customFormat="1" ht="14.45" customHeight="1" x14ac:dyDescent="0.3">
      <c r="A8" s="205" t="s">
        <v>203</v>
      </c>
      <c r="B8" s="191"/>
      <c r="C8" s="191"/>
      <c r="D8" s="191"/>
      <c r="E8" s="191"/>
      <c r="F8" s="191"/>
      <c r="G8" s="191"/>
      <c r="H8" s="191"/>
      <c r="I8" s="191"/>
      <c r="J8" s="191"/>
      <c r="K8" s="191"/>
      <c r="L8" s="191"/>
      <c r="M8" s="191"/>
      <c r="O8" s="65"/>
      <c r="P8" s="65"/>
      <c r="Q8" s="65"/>
      <c r="R8" s="65"/>
      <c r="S8" s="65"/>
      <c r="T8" s="65"/>
      <c r="U8" s="65"/>
      <c r="V8" s="65"/>
      <c r="W8" s="65"/>
      <c r="X8" s="65"/>
      <c r="Y8" s="65"/>
      <c r="Z8" s="65"/>
    </row>
    <row r="9" spans="1:26" s="64" customFormat="1" ht="3" customHeight="1" x14ac:dyDescent="0.3">
      <c r="N9" s="43"/>
      <c r="O9" s="65"/>
      <c r="P9" s="65"/>
      <c r="Q9" s="65"/>
      <c r="R9" s="65"/>
      <c r="S9" s="65"/>
      <c r="T9" s="65"/>
      <c r="U9" s="65"/>
      <c r="V9" s="65"/>
      <c r="W9" s="31"/>
      <c r="X9" s="65"/>
      <c r="Y9" s="65"/>
      <c r="Z9" s="65"/>
    </row>
    <row r="10" spans="1:26" ht="14.45" customHeight="1" x14ac:dyDescent="0.3">
      <c r="A10" s="191" t="s">
        <v>168</v>
      </c>
      <c r="B10" s="191"/>
      <c r="C10" s="191"/>
      <c r="D10" s="191"/>
      <c r="E10" s="191"/>
      <c r="F10" s="191"/>
      <c r="G10" s="191"/>
      <c r="H10" s="191"/>
      <c r="I10" s="191"/>
      <c r="J10" s="191"/>
      <c r="K10" s="191"/>
      <c r="L10" s="191"/>
      <c r="M10" s="191"/>
    </row>
    <row r="11" spans="1:26" s="16" customFormat="1" ht="3" customHeight="1" x14ac:dyDescent="0.25">
      <c r="N11" s="44"/>
      <c r="O11" s="44"/>
      <c r="P11" s="44"/>
      <c r="Q11" s="44"/>
      <c r="R11" s="44"/>
      <c r="S11" s="44"/>
      <c r="T11" s="44"/>
      <c r="U11" s="44"/>
      <c r="V11" s="44"/>
      <c r="W11" s="44"/>
      <c r="X11" s="44"/>
      <c r="Y11" s="44"/>
      <c r="Z11" s="44"/>
    </row>
    <row r="12" spans="1:26" ht="28.9" customHeight="1" x14ac:dyDescent="0.3">
      <c r="A12" s="191" t="s">
        <v>204</v>
      </c>
      <c r="B12" s="191"/>
      <c r="C12" s="191"/>
      <c r="D12" s="191"/>
      <c r="E12" s="191"/>
      <c r="F12" s="191"/>
      <c r="G12" s="191"/>
      <c r="H12" s="191"/>
      <c r="I12" s="191"/>
      <c r="J12" s="191"/>
      <c r="K12" s="191"/>
      <c r="L12" s="191"/>
      <c r="M12" s="191"/>
    </row>
    <row r="13" spans="1:26" s="16" customFormat="1" ht="3" customHeight="1" x14ac:dyDescent="0.25">
      <c r="N13" s="44"/>
      <c r="O13" s="44"/>
      <c r="P13" s="44"/>
      <c r="Q13" s="44"/>
      <c r="R13" s="44"/>
      <c r="S13" s="44"/>
      <c r="T13" s="44"/>
      <c r="U13" s="44"/>
      <c r="V13" s="44"/>
      <c r="W13" s="44"/>
      <c r="X13" s="44"/>
      <c r="Y13" s="44"/>
      <c r="Z13" s="44"/>
    </row>
    <row r="14" spans="1:26" ht="28.9" customHeight="1" x14ac:dyDescent="0.3">
      <c r="A14" s="191" t="s">
        <v>152</v>
      </c>
      <c r="B14" s="191"/>
      <c r="C14" s="191"/>
      <c r="D14" s="191"/>
      <c r="E14" s="191"/>
      <c r="F14" s="191"/>
      <c r="G14" s="191"/>
      <c r="H14" s="191"/>
      <c r="I14" s="191"/>
      <c r="J14" s="191"/>
      <c r="K14" s="191"/>
      <c r="L14" s="191"/>
      <c r="M14" s="191"/>
    </row>
    <row r="15" spans="1:26" s="16" customFormat="1" ht="3" customHeight="1" x14ac:dyDescent="0.3">
      <c r="N15" s="42"/>
      <c r="O15" s="42"/>
      <c r="P15" s="42"/>
      <c r="Q15" s="42"/>
      <c r="R15" s="42"/>
      <c r="S15" s="42"/>
      <c r="T15" s="42"/>
      <c r="U15" s="42"/>
      <c r="V15" s="42"/>
      <c r="W15" s="42"/>
      <c r="X15" s="42"/>
      <c r="Y15" s="42"/>
      <c r="Z15" s="42"/>
    </row>
    <row r="16" spans="1:26" s="160" customFormat="1" ht="14.45" customHeight="1" x14ac:dyDescent="0.3">
      <c r="A16" s="191" t="s">
        <v>133</v>
      </c>
      <c r="B16" s="191"/>
      <c r="C16" s="191"/>
      <c r="D16" s="191"/>
      <c r="E16" s="191"/>
      <c r="F16" s="191"/>
      <c r="G16" s="191"/>
      <c r="H16" s="191"/>
      <c r="I16" s="191"/>
      <c r="J16" s="191"/>
      <c r="K16" s="191"/>
      <c r="L16" s="191"/>
      <c r="M16" s="191"/>
    </row>
    <row r="17" spans="1:26" s="160" customFormat="1" ht="3.6" customHeight="1" x14ac:dyDescent="0.25"/>
    <row r="18" spans="1:26" s="52" customFormat="1" ht="28.15" customHeight="1" x14ac:dyDescent="0.3">
      <c r="A18" s="208" t="s">
        <v>149</v>
      </c>
      <c r="B18" s="208"/>
      <c r="C18" s="208"/>
      <c r="D18" s="208"/>
      <c r="E18" s="208"/>
      <c r="F18" s="208"/>
      <c r="G18" s="208"/>
      <c r="H18" s="208"/>
      <c r="I18" s="208"/>
      <c r="J18" s="208"/>
      <c r="K18" s="208"/>
      <c r="L18" s="208"/>
      <c r="M18" s="208"/>
      <c r="N18" s="51"/>
      <c r="O18" s="51"/>
      <c r="P18" s="51"/>
      <c r="Q18" s="51"/>
      <c r="R18" s="51"/>
      <c r="S18" s="51"/>
      <c r="T18" s="51"/>
      <c r="U18" s="51"/>
      <c r="V18" s="51"/>
      <c r="W18" s="51"/>
      <c r="X18" s="51"/>
      <c r="Y18" s="51"/>
      <c r="Z18" s="51"/>
    </row>
    <row r="19" spans="1:26" s="16" customFormat="1" ht="3.6" customHeight="1" x14ac:dyDescent="0.3">
      <c r="N19" s="42"/>
      <c r="O19" s="42"/>
      <c r="P19" s="42"/>
      <c r="Q19" s="42"/>
      <c r="R19" s="42"/>
      <c r="S19" s="42"/>
      <c r="T19" s="42"/>
      <c r="U19" s="42"/>
      <c r="V19" s="42"/>
      <c r="W19" s="42"/>
      <c r="X19" s="42"/>
      <c r="Y19" s="42"/>
      <c r="Z19" s="42"/>
    </row>
    <row r="20" spans="1:26" s="4" customFormat="1" ht="28.15" customHeight="1" x14ac:dyDescent="0.25">
      <c r="A20" s="206" t="s">
        <v>169</v>
      </c>
      <c r="B20" s="206"/>
      <c r="C20" s="206"/>
      <c r="D20" s="206"/>
      <c r="E20" s="206"/>
      <c r="F20" s="206"/>
      <c r="G20" s="206"/>
      <c r="H20" s="206"/>
      <c r="I20" s="206"/>
      <c r="J20" s="206"/>
      <c r="K20" s="206"/>
      <c r="L20" s="206"/>
      <c r="M20" s="206"/>
    </row>
    <row r="21" spans="1:26" s="16" customFormat="1" ht="3" customHeight="1" x14ac:dyDescent="0.3">
      <c r="N21" s="42"/>
      <c r="O21" s="42"/>
      <c r="P21" s="42"/>
      <c r="Q21" s="42"/>
      <c r="R21" s="42"/>
      <c r="S21" s="42"/>
      <c r="T21" s="42"/>
      <c r="U21" s="42"/>
      <c r="V21" s="42"/>
      <c r="W21" s="42"/>
      <c r="X21" s="42"/>
      <c r="Y21" s="42"/>
      <c r="Z21" s="42"/>
    </row>
    <row r="22" spans="1:26" s="64" customFormat="1" ht="15" customHeight="1" x14ac:dyDescent="0.3">
      <c r="A22" s="205" t="s">
        <v>122</v>
      </c>
      <c r="B22" s="191"/>
      <c r="C22" s="191"/>
      <c r="D22" s="191"/>
      <c r="E22" s="191"/>
      <c r="F22" s="191"/>
      <c r="G22" s="191"/>
      <c r="H22" s="191"/>
      <c r="I22" s="191"/>
      <c r="J22" s="191"/>
      <c r="K22" s="191"/>
      <c r="L22" s="191"/>
      <c r="M22" s="191"/>
      <c r="N22" s="66"/>
      <c r="O22" s="66"/>
      <c r="P22" s="66"/>
      <c r="Q22" s="66"/>
      <c r="R22" s="66"/>
      <c r="S22" s="66"/>
      <c r="T22" s="66"/>
      <c r="U22" s="66"/>
      <c r="V22" s="66"/>
      <c r="W22" s="66"/>
      <c r="X22" s="66"/>
      <c r="Y22" s="66"/>
      <c r="Z22" s="66"/>
    </row>
    <row r="23" spans="1:26" s="64" customFormat="1" ht="3" customHeight="1" x14ac:dyDescent="0.3">
      <c r="N23" s="66"/>
      <c r="O23" s="66"/>
      <c r="P23" s="66"/>
      <c r="Q23" s="66"/>
      <c r="R23" s="66"/>
      <c r="S23" s="66"/>
      <c r="T23" s="66"/>
      <c r="U23" s="66"/>
      <c r="V23" s="66"/>
      <c r="W23" s="66"/>
      <c r="X23" s="66"/>
      <c r="Y23" s="66"/>
      <c r="Z23" s="66"/>
    </row>
    <row r="24" spans="1:26" ht="70.900000000000006" customHeight="1" x14ac:dyDescent="0.25">
      <c r="A24" s="204" t="s">
        <v>150</v>
      </c>
      <c r="B24" s="204"/>
      <c r="C24" s="204"/>
      <c r="D24" s="204"/>
      <c r="E24" s="204"/>
      <c r="F24" s="204"/>
      <c r="G24" s="204"/>
      <c r="H24" s="204"/>
      <c r="I24" s="204"/>
      <c r="J24" s="204"/>
      <c r="K24" s="204"/>
      <c r="L24" s="204"/>
      <c r="M24" s="204"/>
    </row>
    <row r="25" spans="1:26" s="16" customFormat="1" ht="3" customHeight="1" x14ac:dyDescent="0.3">
      <c r="N25" s="42"/>
      <c r="O25" s="42"/>
      <c r="P25" s="42"/>
      <c r="Q25" s="42"/>
      <c r="R25" s="42"/>
      <c r="S25" s="42"/>
      <c r="T25" s="42"/>
      <c r="U25" s="42"/>
      <c r="V25" s="42"/>
      <c r="W25" s="42"/>
      <c r="X25" s="42"/>
      <c r="Y25" s="42"/>
      <c r="Z25" s="42"/>
    </row>
    <row r="26" spans="1:26" s="67" customFormat="1" ht="30.6" customHeight="1" x14ac:dyDescent="0.3">
      <c r="A26" s="191" t="s">
        <v>151</v>
      </c>
      <c r="B26" s="191"/>
      <c r="C26" s="191"/>
      <c r="D26" s="191"/>
      <c r="E26" s="191"/>
      <c r="F26" s="191"/>
      <c r="G26" s="191"/>
      <c r="H26" s="191"/>
      <c r="I26" s="191"/>
      <c r="J26" s="191"/>
      <c r="K26" s="191"/>
      <c r="L26" s="191"/>
      <c r="M26" s="191"/>
      <c r="N26" s="69"/>
      <c r="O26" s="69"/>
      <c r="P26" s="69"/>
      <c r="Q26" s="69"/>
      <c r="R26" s="69"/>
      <c r="S26" s="69"/>
      <c r="T26" s="69"/>
      <c r="U26" s="69"/>
      <c r="V26" s="69"/>
      <c r="W26" s="69"/>
      <c r="X26" s="69"/>
      <c r="Y26" s="69"/>
      <c r="Z26" s="69"/>
    </row>
    <row r="27" spans="1:26" s="67" customFormat="1" ht="3" customHeight="1" x14ac:dyDescent="0.3">
      <c r="N27" s="69"/>
      <c r="O27" s="69"/>
      <c r="P27" s="69"/>
      <c r="Q27" s="69"/>
      <c r="R27" s="69"/>
      <c r="S27" s="69"/>
      <c r="T27" s="69"/>
      <c r="U27" s="69"/>
      <c r="V27" s="69"/>
      <c r="W27" s="69"/>
      <c r="X27" s="69"/>
      <c r="Y27" s="69"/>
      <c r="Z27" s="69"/>
    </row>
    <row r="28" spans="1:26" ht="16.5" x14ac:dyDescent="0.3">
      <c r="A28" s="19" t="s">
        <v>93</v>
      </c>
      <c r="O28" s="19"/>
      <c r="P28" s="19"/>
      <c r="Q28" s="19"/>
      <c r="R28" s="19"/>
      <c r="S28" s="19"/>
      <c r="T28" s="19"/>
      <c r="U28" s="19"/>
      <c r="V28" s="19"/>
      <c r="W28" s="19"/>
      <c r="X28" s="19"/>
      <c r="Y28" s="19"/>
      <c r="Z28" s="19"/>
    </row>
    <row r="29" spans="1:26" ht="3" customHeight="1" x14ac:dyDescent="0.3">
      <c r="A29" s="32"/>
      <c r="B29" s="32"/>
      <c r="C29" s="32"/>
      <c r="D29" s="32"/>
      <c r="E29" s="32"/>
      <c r="F29" s="32"/>
      <c r="G29" s="32"/>
      <c r="H29" s="32"/>
      <c r="I29" s="32"/>
      <c r="J29" s="32"/>
      <c r="K29" s="32"/>
      <c r="L29" s="32"/>
      <c r="M29" s="32"/>
      <c r="N29" s="19"/>
      <c r="O29" s="19"/>
      <c r="P29" s="19"/>
      <c r="Q29" s="19"/>
      <c r="R29" s="19"/>
      <c r="S29" s="19"/>
      <c r="T29" s="19"/>
      <c r="U29" s="19"/>
      <c r="V29" s="19"/>
      <c r="W29" s="19"/>
      <c r="X29" s="19"/>
      <c r="Y29" s="19"/>
      <c r="Z29" s="19"/>
    </row>
    <row r="30" spans="1:26" s="64" customFormat="1" ht="26.45" customHeight="1" x14ac:dyDescent="0.3">
      <c r="A30" s="205" t="s">
        <v>205</v>
      </c>
      <c r="B30" s="191"/>
      <c r="C30" s="191"/>
      <c r="D30" s="191"/>
      <c r="E30" s="191"/>
      <c r="F30" s="191"/>
      <c r="G30" s="191"/>
      <c r="H30" s="191"/>
      <c r="I30" s="191"/>
      <c r="J30" s="191"/>
      <c r="K30" s="191"/>
      <c r="L30" s="191"/>
      <c r="M30" s="191"/>
    </row>
    <row r="31" spans="1:26" s="64" customFormat="1" ht="3" customHeight="1" x14ac:dyDescent="0.25"/>
    <row r="32" spans="1:26" s="64" customFormat="1" ht="13.9" customHeight="1" x14ac:dyDescent="0.3">
      <c r="A32" s="205" t="s">
        <v>120</v>
      </c>
      <c r="B32" s="191"/>
      <c r="C32" s="191"/>
      <c r="D32" s="191"/>
      <c r="E32" s="191"/>
      <c r="F32" s="191"/>
      <c r="G32" s="191"/>
      <c r="H32" s="191"/>
      <c r="I32" s="191"/>
      <c r="J32" s="191"/>
      <c r="K32" s="191"/>
      <c r="L32" s="191"/>
      <c r="M32" s="191"/>
    </row>
    <row r="33" spans="1:17" s="64" customFormat="1" ht="3" customHeight="1" x14ac:dyDescent="0.25"/>
    <row r="34" spans="1:17" s="64" customFormat="1" ht="13.9" customHeight="1" x14ac:dyDescent="0.3">
      <c r="A34" s="205" t="s">
        <v>121</v>
      </c>
      <c r="B34" s="191"/>
      <c r="C34" s="191"/>
      <c r="D34" s="191"/>
      <c r="E34" s="191"/>
      <c r="F34" s="191"/>
      <c r="G34" s="191"/>
      <c r="H34" s="191"/>
      <c r="I34" s="191"/>
      <c r="J34" s="191"/>
      <c r="K34" s="191"/>
      <c r="L34" s="191"/>
      <c r="M34" s="191"/>
    </row>
    <row r="35" spans="1:17" s="64" customFormat="1" ht="3" customHeight="1" x14ac:dyDescent="0.25"/>
    <row r="36" spans="1:17" ht="28.9" customHeight="1" x14ac:dyDescent="0.3">
      <c r="A36" s="191" t="s">
        <v>153</v>
      </c>
      <c r="B36" s="191"/>
      <c r="C36" s="191"/>
      <c r="D36" s="191"/>
      <c r="E36" s="191"/>
      <c r="F36" s="191"/>
      <c r="G36" s="191"/>
      <c r="H36" s="191"/>
      <c r="I36" s="191"/>
      <c r="J36" s="191"/>
      <c r="K36" s="191"/>
      <c r="L36" s="191"/>
      <c r="M36" s="191"/>
    </row>
    <row r="37" spans="1:17" ht="3" customHeight="1" x14ac:dyDescent="0.25"/>
    <row r="38" spans="1:17" s="50" customFormat="1" ht="27.6" customHeight="1" x14ac:dyDescent="0.3">
      <c r="A38" s="191" t="s">
        <v>92</v>
      </c>
      <c r="B38" s="191"/>
      <c r="C38" s="191"/>
      <c r="D38" s="191"/>
      <c r="E38" s="191"/>
      <c r="F38" s="191"/>
      <c r="G38" s="191"/>
      <c r="H38" s="191"/>
      <c r="I38" s="191"/>
      <c r="J38" s="191"/>
      <c r="K38" s="191"/>
      <c r="L38" s="191"/>
      <c r="M38" s="191"/>
    </row>
    <row r="39" spans="1:17" s="50" customFormat="1" ht="3" customHeight="1" x14ac:dyDescent="0.25"/>
    <row r="40" spans="1:17" s="64" customFormat="1" ht="28.15" customHeight="1" x14ac:dyDescent="0.3">
      <c r="A40" s="191" t="s">
        <v>206</v>
      </c>
      <c r="B40" s="191"/>
      <c r="C40" s="191"/>
      <c r="D40" s="191"/>
      <c r="E40" s="191"/>
      <c r="F40" s="191"/>
      <c r="G40" s="191"/>
      <c r="H40" s="191"/>
      <c r="I40" s="191"/>
      <c r="J40" s="191"/>
      <c r="K40" s="191"/>
      <c r="L40" s="191"/>
      <c r="M40" s="191"/>
    </row>
    <row r="41" spans="1:17" s="64" customFormat="1" ht="3.6" customHeight="1" x14ac:dyDescent="0.3">
      <c r="A41" s="191"/>
      <c r="B41" s="191"/>
      <c r="C41" s="191"/>
      <c r="D41" s="191"/>
      <c r="E41" s="191"/>
      <c r="F41" s="191"/>
      <c r="G41" s="191"/>
      <c r="H41" s="191"/>
      <c r="I41" s="191"/>
      <c r="J41" s="191"/>
      <c r="K41" s="191"/>
      <c r="L41" s="191"/>
      <c r="M41" s="191"/>
    </row>
    <row r="42" spans="1:17" ht="28.15" customHeight="1" x14ac:dyDescent="0.3">
      <c r="A42" s="191" t="s">
        <v>207</v>
      </c>
      <c r="B42" s="191"/>
      <c r="C42" s="191"/>
      <c r="D42" s="191"/>
      <c r="E42" s="191"/>
      <c r="F42" s="191"/>
      <c r="G42" s="191"/>
      <c r="H42" s="191"/>
      <c r="I42" s="191"/>
      <c r="J42" s="191"/>
      <c r="K42" s="191"/>
      <c r="L42" s="191"/>
      <c r="M42" s="191"/>
    </row>
    <row r="43" spans="1:17" ht="16.5" x14ac:dyDescent="0.3">
      <c r="A43" s="19"/>
      <c r="B43" s="19"/>
      <c r="C43" s="19"/>
      <c r="D43" s="19"/>
      <c r="E43" s="19"/>
      <c r="F43" s="19"/>
      <c r="G43" s="19"/>
      <c r="H43" s="19"/>
      <c r="I43" s="19"/>
      <c r="J43" s="19"/>
      <c r="K43" s="19"/>
      <c r="L43" s="19"/>
      <c r="M43" s="19"/>
    </row>
    <row r="44" spans="1:17" ht="18" thickBot="1" x14ac:dyDescent="0.35">
      <c r="A44" s="145" t="s">
        <v>83</v>
      </c>
      <c r="B44" s="145"/>
      <c r="C44" s="145"/>
      <c r="D44" s="145"/>
      <c r="E44" s="145"/>
      <c r="F44" s="145"/>
      <c r="G44" s="145"/>
      <c r="H44" s="20"/>
      <c r="I44" s="20"/>
      <c r="J44" s="20"/>
      <c r="K44" s="20"/>
      <c r="L44" s="20"/>
      <c r="M44" s="20"/>
      <c r="N44" s="20"/>
      <c r="O44" s="20"/>
      <c r="P44" s="20"/>
      <c r="Q44" s="20"/>
    </row>
    <row r="45" spans="1:17" ht="15" customHeight="1" thickTop="1" x14ac:dyDescent="0.25">
      <c r="A45" s="200" t="s">
        <v>137</v>
      </c>
      <c r="B45" s="200"/>
      <c r="C45" s="200"/>
      <c r="D45" s="200"/>
      <c r="E45" s="200"/>
      <c r="F45" s="200"/>
      <c r="G45" s="200"/>
      <c r="H45" s="200"/>
      <c r="I45" s="200"/>
      <c r="J45" s="200"/>
      <c r="K45" s="200"/>
      <c r="L45" s="200"/>
      <c r="M45" s="200"/>
      <c r="N45" s="200"/>
      <c r="O45" s="200"/>
      <c r="P45" s="200"/>
      <c r="Q45" s="200"/>
    </row>
    <row r="46" spans="1:17" ht="14.45" customHeight="1" x14ac:dyDescent="0.25">
      <c r="A46" s="207"/>
      <c r="B46" s="207"/>
      <c r="C46" s="207"/>
      <c r="D46" s="207"/>
      <c r="E46" s="207"/>
      <c r="F46" s="207"/>
      <c r="G46" s="207"/>
      <c r="H46" s="207"/>
      <c r="I46" s="207"/>
      <c r="J46" s="207"/>
      <c r="K46" s="207"/>
      <c r="L46" s="207"/>
      <c r="M46" s="207"/>
      <c r="N46" s="207"/>
      <c r="O46" s="207"/>
      <c r="P46" s="207"/>
      <c r="Q46" s="207"/>
    </row>
    <row r="47" spans="1:17" ht="14.45" customHeight="1" x14ac:dyDescent="0.25">
      <c r="A47" s="207"/>
      <c r="B47" s="207"/>
      <c r="C47" s="207"/>
      <c r="D47" s="207"/>
      <c r="E47" s="207"/>
      <c r="F47" s="207"/>
      <c r="G47" s="207"/>
      <c r="H47" s="207"/>
      <c r="I47" s="207"/>
      <c r="J47" s="207"/>
      <c r="K47" s="207"/>
      <c r="L47" s="207"/>
      <c r="M47" s="207"/>
      <c r="N47" s="207"/>
      <c r="O47" s="207"/>
      <c r="P47" s="207"/>
      <c r="Q47" s="207"/>
    </row>
    <row r="48" spans="1:17" ht="14.45" customHeight="1" x14ac:dyDescent="0.25">
      <c r="A48" s="207"/>
      <c r="B48" s="207"/>
      <c r="C48" s="207"/>
      <c r="D48" s="207"/>
      <c r="E48" s="207"/>
      <c r="F48" s="207"/>
      <c r="G48" s="207"/>
      <c r="H48" s="207"/>
      <c r="I48" s="207"/>
      <c r="J48" s="207"/>
      <c r="K48" s="207"/>
      <c r="L48" s="207"/>
      <c r="M48" s="207"/>
      <c r="N48" s="207"/>
      <c r="O48" s="207"/>
      <c r="P48" s="207"/>
      <c r="Q48" s="207"/>
    </row>
    <row r="49" spans="1:13" ht="16.5" x14ac:dyDescent="0.3">
      <c r="A49" s="19"/>
      <c r="B49" s="19"/>
      <c r="C49" s="19"/>
      <c r="D49" s="19"/>
      <c r="E49" s="19"/>
      <c r="F49" s="19"/>
      <c r="G49" s="19"/>
      <c r="H49" s="19"/>
      <c r="I49" s="19"/>
      <c r="J49" s="19"/>
      <c r="K49" s="19"/>
      <c r="L49" s="19"/>
      <c r="M49" s="19"/>
    </row>
    <row r="50" spans="1:13" ht="16.5" x14ac:dyDescent="0.3">
      <c r="A50" s="19"/>
      <c r="B50" s="19"/>
      <c r="C50" s="19"/>
      <c r="D50" s="19"/>
      <c r="E50" s="19"/>
      <c r="F50" s="19"/>
      <c r="G50" s="19"/>
      <c r="H50" s="19"/>
      <c r="I50" s="19"/>
      <c r="J50" s="19"/>
      <c r="K50" s="19"/>
      <c r="L50" s="19"/>
      <c r="M50" s="19"/>
    </row>
    <row r="51" spans="1:13" ht="16.5" x14ac:dyDescent="0.3">
      <c r="A51" s="19"/>
      <c r="B51" s="19"/>
      <c r="C51" s="19"/>
      <c r="D51" s="19"/>
      <c r="E51" s="19"/>
      <c r="F51" s="19"/>
      <c r="G51" s="19"/>
      <c r="H51" s="19"/>
      <c r="I51" s="19"/>
      <c r="J51" s="19"/>
      <c r="K51" s="19"/>
      <c r="L51" s="19"/>
      <c r="M51" s="19"/>
    </row>
    <row r="52" spans="1:13" ht="16.5" x14ac:dyDescent="0.3">
      <c r="A52" s="19"/>
      <c r="B52" s="19"/>
      <c r="C52" s="19"/>
      <c r="D52" s="19"/>
      <c r="E52" s="19"/>
      <c r="F52" s="19"/>
      <c r="G52" s="19"/>
      <c r="H52" s="19"/>
      <c r="I52" s="19"/>
      <c r="J52" s="19"/>
      <c r="K52" s="19"/>
      <c r="L52" s="19"/>
      <c r="M52" s="19"/>
    </row>
    <row r="53" spans="1:13" ht="16.5" x14ac:dyDescent="0.3">
      <c r="A53" s="19"/>
      <c r="B53" s="19"/>
      <c r="C53" s="19"/>
      <c r="D53" s="19"/>
      <c r="E53" s="19"/>
      <c r="F53" s="19"/>
      <c r="G53" s="19"/>
      <c r="H53" s="19"/>
      <c r="I53" s="19"/>
      <c r="J53" s="19"/>
      <c r="K53" s="19"/>
      <c r="L53" s="19"/>
      <c r="M53" s="19"/>
    </row>
    <row r="54" spans="1:13" ht="16.5" x14ac:dyDescent="0.3">
      <c r="A54" s="19"/>
      <c r="B54" s="19"/>
      <c r="C54" s="19"/>
      <c r="D54" s="19"/>
      <c r="E54" s="19"/>
      <c r="F54" s="19"/>
      <c r="G54" s="19"/>
      <c r="H54" s="19"/>
      <c r="I54" s="19"/>
      <c r="J54" s="19"/>
      <c r="K54" s="19"/>
      <c r="L54" s="19"/>
      <c r="M54" s="19"/>
    </row>
    <row r="55" spans="1:13" ht="16.5" x14ac:dyDescent="0.3">
      <c r="A55" s="19"/>
      <c r="B55" s="19"/>
      <c r="C55" s="19"/>
      <c r="D55" s="19"/>
      <c r="E55" s="19"/>
      <c r="F55" s="19"/>
      <c r="G55" s="19"/>
      <c r="H55" s="19"/>
      <c r="I55" s="19"/>
      <c r="J55" s="19"/>
      <c r="K55" s="19"/>
      <c r="L55" s="19"/>
      <c r="M55" s="19"/>
    </row>
    <row r="56" spans="1:13" ht="16.5" x14ac:dyDescent="0.3">
      <c r="A56" s="19"/>
      <c r="B56" s="19"/>
      <c r="C56" s="19"/>
      <c r="D56" s="19"/>
      <c r="E56" s="19"/>
      <c r="F56" s="19"/>
      <c r="G56" s="19"/>
      <c r="H56" s="19"/>
      <c r="I56" s="19"/>
      <c r="J56" s="19"/>
      <c r="K56" s="19"/>
      <c r="L56" s="19"/>
      <c r="M56" s="19"/>
    </row>
    <row r="57" spans="1:13" ht="16.5" x14ac:dyDescent="0.3">
      <c r="A57" s="19"/>
      <c r="B57" s="19"/>
      <c r="C57" s="19"/>
      <c r="D57" s="19"/>
      <c r="E57" s="19"/>
      <c r="F57" s="19"/>
      <c r="G57" s="19"/>
      <c r="H57" s="19"/>
      <c r="I57" s="19"/>
      <c r="J57" s="19"/>
      <c r="K57" s="19"/>
      <c r="L57" s="19"/>
      <c r="M57" s="19"/>
    </row>
    <row r="58" spans="1:13" ht="16.5" x14ac:dyDescent="0.3">
      <c r="A58" s="19"/>
      <c r="B58" s="19"/>
      <c r="C58" s="19"/>
      <c r="D58" s="19"/>
      <c r="E58" s="19"/>
      <c r="F58" s="19"/>
      <c r="G58" s="19"/>
      <c r="H58" s="19"/>
      <c r="I58" s="19"/>
      <c r="J58" s="19"/>
      <c r="K58" s="19"/>
      <c r="L58" s="19"/>
      <c r="M58" s="19"/>
    </row>
    <row r="59" spans="1:13" ht="16.5" x14ac:dyDescent="0.3">
      <c r="A59" s="19"/>
      <c r="B59" s="19"/>
      <c r="C59" s="19"/>
      <c r="D59" s="19"/>
      <c r="E59" s="19"/>
      <c r="F59" s="19"/>
      <c r="G59" s="19"/>
      <c r="H59" s="19"/>
      <c r="I59" s="19"/>
      <c r="J59" s="19"/>
      <c r="K59" s="19"/>
      <c r="L59" s="19"/>
      <c r="M59" s="19"/>
    </row>
    <row r="60" spans="1:13" ht="16.5" x14ac:dyDescent="0.3">
      <c r="A60" s="19"/>
      <c r="B60" s="19"/>
      <c r="C60" s="19"/>
      <c r="D60" s="19"/>
      <c r="E60" s="19"/>
      <c r="F60" s="19"/>
      <c r="G60" s="19"/>
      <c r="H60" s="19"/>
      <c r="I60" s="19"/>
      <c r="J60" s="19"/>
      <c r="K60" s="19"/>
      <c r="L60" s="19"/>
      <c r="M60" s="19"/>
    </row>
    <row r="61" spans="1:13" ht="16.5" x14ac:dyDescent="0.3">
      <c r="A61" s="19"/>
      <c r="B61" s="19"/>
      <c r="C61" s="19"/>
      <c r="D61" s="19"/>
      <c r="E61" s="19"/>
      <c r="F61" s="19"/>
      <c r="G61" s="19"/>
      <c r="H61" s="19"/>
      <c r="I61" s="19"/>
      <c r="J61" s="19"/>
      <c r="K61" s="19"/>
      <c r="L61" s="19"/>
      <c r="M61" s="19"/>
    </row>
    <row r="62" spans="1:13" ht="16.5" x14ac:dyDescent="0.3">
      <c r="A62" s="19"/>
      <c r="B62" s="19"/>
      <c r="C62" s="19"/>
      <c r="D62" s="19"/>
      <c r="E62" s="19"/>
      <c r="F62" s="19"/>
      <c r="G62" s="19"/>
      <c r="H62" s="19"/>
      <c r="I62" s="19"/>
      <c r="J62" s="19"/>
      <c r="K62" s="19"/>
      <c r="L62" s="19"/>
      <c r="M62" s="19"/>
    </row>
    <row r="63" spans="1:13" ht="16.5" x14ac:dyDescent="0.3">
      <c r="A63" s="19"/>
      <c r="B63" s="19"/>
      <c r="C63" s="19"/>
      <c r="D63" s="19"/>
      <c r="E63" s="19"/>
      <c r="F63" s="19"/>
      <c r="G63" s="19"/>
      <c r="H63" s="19"/>
      <c r="I63" s="19"/>
      <c r="J63" s="19"/>
      <c r="K63" s="19"/>
      <c r="L63" s="19"/>
      <c r="M63" s="19"/>
    </row>
    <row r="64" spans="1:13" ht="16.5" x14ac:dyDescent="0.3">
      <c r="A64" s="19"/>
      <c r="B64" s="19"/>
      <c r="C64" s="19"/>
      <c r="D64" s="19"/>
      <c r="E64" s="19"/>
      <c r="F64" s="19"/>
      <c r="G64" s="19"/>
      <c r="H64" s="19"/>
      <c r="I64" s="19"/>
      <c r="J64" s="19"/>
      <c r="K64" s="19"/>
      <c r="L64" s="19"/>
      <c r="M64" s="19"/>
    </row>
    <row r="65" spans="1:13" ht="16.5" x14ac:dyDescent="0.3">
      <c r="A65" s="19"/>
      <c r="B65" s="19"/>
      <c r="C65" s="19"/>
      <c r="D65" s="19"/>
      <c r="E65" s="19"/>
      <c r="F65" s="19"/>
      <c r="G65" s="19"/>
      <c r="H65" s="19"/>
      <c r="I65" s="19"/>
      <c r="J65" s="19"/>
      <c r="K65" s="19"/>
      <c r="L65" s="19"/>
      <c r="M65" s="19"/>
    </row>
    <row r="66" spans="1:13" ht="16.5" x14ac:dyDescent="0.3">
      <c r="A66" s="19"/>
      <c r="B66" s="19"/>
      <c r="C66" s="19"/>
      <c r="D66" s="19"/>
      <c r="E66" s="19"/>
      <c r="F66" s="19"/>
      <c r="G66" s="19"/>
      <c r="H66" s="19"/>
      <c r="I66" s="19"/>
      <c r="J66" s="19"/>
      <c r="K66" s="19"/>
      <c r="L66" s="19"/>
      <c r="M66" s="19"/>
    </row>
  </sheetData>
  <mergeCells count="21">
    <mergeCell ref="A45:Q48"/>
    <mergeCell ref="A16:M16"/>
    <mergeCell ref="A26:M26"/>
    <mergeCell ref="A18:M18"/>
    <mergeCell ref="A10:M10"/>
    <mergeCell ref="A38:M38"/>
    <mergeCell ref="A36:M36"/>
    <mergeCell ref="A34:M34"/>
    <mergeCell ref="A41:M41"/>
    <mergeCell ref="A42:M42"/>
    <mergeCell ref="A30:M30"/>
    <mergeCell ref="A32:M32"/>
    <mergeCell ref="A40:M40"/>
    <mergeCell ref="A2:I3"/>
    <mergeCell ref="A24:M24"/>
    <mergeCell ref="A14:M14"/>
    <mergeCell ref="A12:M12"/>
    <mergeCell ref="A6:M6"/>
    <mergeCell ref="A8:M8"/>
    <mergeCell ref="A22:M22"/>
    <mergeCell ref="A20:M20"/>
  </mergeCells>
  <pageMargins left="0.7" right="0.7" top="0.75" bottom="0.75" header="0.3" footer="0.3"/>
  <pageSetup scale="80" orientation="landscape" r:id="rId1"/>
  <headerFooter>
    <oddFooter>&amp;C&amp;K00-018DWSD Drainage Credit Calculator- Draft</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Q46"/>
  <sheetViews>
    <sheetView showGridLines="0" zoomScale="90" zoomScaleNormal="90" workbookViewId="0"/>
  </sheetViews>
  <sheetFormatPr defaultColWidth="8.85546875" defaultRowHeight="16.5" x14ac:dyDescent="0.3"/>
  <cols>
    <col min="1" max="5" width="8.85546875" style="19"/>
    <col min="6" max="6" width="4.140625" style="19" customWidth="1"/>
    <col min="7" max="16" width="8.85546875" style="19"/>
    <col min="17" max="17" width="13" style="19" customWidth="1"/>
    <col min="18" max="16384" width="8.85546875" style="19"/>
  </cols>
  <sheetData>
    <row r="1" spans="1:17" ht="20.25" thickBot="1" x14ac:dyDescent="0.35">
      <c r="A1" s="17" t="s">
        <v>209</v>
      </c>
      <c r="B1" s="17"/>
      <c r="C1" s="17"/>
      <c r="D1" s="17"/>
      <c r="E1" s="17"/>
      <c r="F1" s="17"/>
      <c r="G1" s="17"/>
      <c r="H1" s="17"/>
      <c r="I1" s="17"/>
      <c r="J1" s="17"/>
      <c r="K1" s="17"/>
      <c r="L1" s="17"/>
      <c r="M1" s="17"/>
      <c r="N1" s="17"/>
      <c r="O1" s="17"/>
      <c r="P1" s="17"/>
      <c r="Q1" s="17"/>
    </row>
    <row r="2" spans="1:17" ht="17.25" thickTop="1" x14ac:dyDescent="0.3">
      <c r="A2" s="19" t="s">
        <v>172</v>
      </c>
    </row>
    <row r="5" spans="1:17" x14ac:dyDescent="0.3">
      <c r="A5" s="19" t="s">
        <v>103</v>
      </c>
    </row>
    <row r="6" spans="1:17" x14ac:dyDescent="0.3">
      <c r="B6" s="19" t="s">
        <v>148</v>
      </c>
    </row>
    <row r="7" spans="1:17" x14ac:dyDescent="0.3">
      <c r="G7" s="204" t="s">
        <v>173</v>
      </c>
      <c r="H7" s="204"/>
      <c r="I7" s="204"/>
    </row>
    <row r="8" spans="1:17" x14ac:dyDescent="0.3">
      <c r="G8" s="204"/>
      <c r="H8" s="204"/>
      <c r="I8" s="204"/>
    </row>
    <row r="9" spans="1:17" x14ac:dyDescent="0.3">
      <c r="G9" s="204"/>
      <c r="H9" s="204"/>
      <c r="I9" s="204"/>
    </row>
    <row r="10" spans="1:17" x14ac:dyDescent="0.3">
      <c r="G10" s="204"/>
      <c r="H10" s="204"/>
      <c r="I10" s="204"/>
    </row>
    <row r="11" spans="1:17" x14ac:dyDescent="0.3">
      <c r="G11" s="204"/>
      <c r="H11" s="204"/>
      <c r="I11" s="204"/>
    </row>
    <row r="12" spans="1:17" x14ac:dyDescent="0.3">
      <c r="G12" s="204"/>
      <c r="H12" s="204"/>
      <c r="I12" s="204"/>
    </row>
    <row r="13" spans="1:17" x14ac:dyDescent="0.3">
      <c r="G13" s="204"/>
      <c r="H13" s="204"/>
      <c r="I13" s="204"/>
    </row>
    <row r="14" spans="1:17" x14ac:dyDescent="0.3">
      <c r="G14" s="204"/>
      <c r="H14" s="204"/>
      <c r="I14" s="204"/>
    </row>
    <row r="15" spans="1:17" x14ac:dyDescent="0.3">
      <c r="G15" s="204"/>
      <c r="H15" s="204"/>
      <c r="I15" s="204"/>
    </row>
    <row r="16" spans="1:17" x14ac:dyDescent="0.3">
      <c r="G16" s="204"/>
      <c r="H16" s="204"/>
      <c r="I16" s="204"/>
    </row>
    <row r="17" spans="1:9" x14ac:dyDescent="0.3">
      <c r="G17" s="204"/>
      <c r="H17" s="204"/>
      <c r="I17" s="204"/>
    </row>
    <row r="18" spans="1:9" x14ac:dyDescent="0.3">
      <c r="G18" s="204"/>
      <c r="H18" s="204"/>
      <c r="I18" s="204"/>
    </row>
    <row r="19" spans="1:9" x14ac:dyDescent="0.3">
      <c r="G19" s="204"/>
      <c r="H19" s="204"/>
      <c r="I19" s="204"/>
    </row>
    <row r="20" spans="1:9" x14ac:dyDescent="0.3">
      <c r="G20" s="204"/>
      <c r="H20" s="204"/>
      <c r="I20" s="204"/>
    </row>
    <row r="21" spans="1:9" x14ac:dyDescent="0.3">
      <c r="G21" s="204"/>
      <c r="H21" s="204"/>
      <c r="I21" s="204"/>
    </row>
    <row r="22" spans="1:9" x14ac:dyDescent="0.3">
      <c r="A22" s="19" t="s">
        <v>104</v>
      </c>
    </row>
    <row r="23" spans="1:9" x14ac:dyDescent="0.3">
      <c r="B23" s="19" t="s">
        <v>154</v>
      </c>
    </row>
    <row r="25" spans="1:9" x14ac:dyDescent="0.3">
      <c r="G25" s="204" t="s">
        <v>174</v>
      </c>
      <c r="H25" s="204"/>
      <c r="I25" s="204"/>
    </row>
    <row r="26" spans="1:9" x14ac:dyDescent="0.3">
      <c r="G26" s="204"/>
      <c r="H26" s="204"/>
      <c r="I26" s="204"/>
    </row>
    <row r="27" spans="1:9" x14ac:dyDescent="0.3">
      <c r="G27" s="204"/>
      <c r="H27" s="204"/>
      <c r="I27" s="204"/>
    </row>
    <row r="28" spans="1:9" x14ac:dyDescent="0.3">
      <c r="G28" s="204"/>
      <c r="H28" s="204"/>
      <c r="I28" s="204"/>
    </row>
    <row r="29" spans="1:9" x14ac:dyDescent="0.3">
      <c r="G29" s="204"/>
      <c r="H29" s="204"/>
      <c r="I29" s="204"/>
    </row>
    <row r="30" spans="1:9" x14ac:dyDescent="0.3">
      <c r="G30" s="204"/>
      <c r="H30" s="204"/>
      <c r="I30" s="204"/>
    </row>
    <row r="31" spans="1:9" x14ac:dyDescent="0.3">
      <c r="G31" s="204"/>
      <c r="H31" s="204"/>
      <c r="I31" s="204"/>
    </row>
    <row r="32" spans="1:9" x14ac:dyDescent="0.3">
      <c r="G32" s="204"/>
      <c r="H32" s="204"/>
      <c r="I32" s="204"/>
    </row>
    <row r="33" spans="1:17" x14ac:dyDescent="0.3">
      <c r="G33" s="204"/>
      <c r="H33" s="204"/>
      <c r="I33" s="204"/>
    </row>
    <row r="34" spans="1:17" x14ac:dyDescent="0.3">
      <c r="G34" s="204"/>
      <c r="H34" s="204"/>
      <c r="I34" s="204"/>
    </row>
    <row r="35" spans="1:17" x14ac:dyDescent="0.3">
      <c r="G35" s="204"/>
      <c r="H35" s="204"/>
      <c r="I35" s="204"/>
    </row>
    <row r="36" spans="1:17" x14ac:dyDescent="0.3">
      <c r="G36" s="204"/>
      <c r="H36" s="204"/>
      <c r="I36" s="204"/>
    </row>
    <row r="37" spans="1:17" x14ac:dyDescent="0.3">
      <c r="G37" s="204"/>
      <c r="H37" s="204"/>
      <c r="I37" s="204"/>
    </row>
    <row r="39" spans="1:17" x14ac:dyDescent="0.3">
      <c r="A39" s="19" t="s">
        <v>170</v>
      </c>
    </row>
    <row r="42" spans="1:17" ht="18" thickBot="1" x14ac:dyDescent="0.35">
      <c r="A42" s="145" t="s">
        <v>83</v>
      </c>
      <c r="B42" s="145"/>
      <c r="C42" s="145"/>
      <c r="D42" s="145"/>
      <c r="E42" s="145"/>
      <c r="F42" s="145"/>
      <c r="G42" s="145"/>
      <c r="H42" s="20"/>
      <c r="I42" s="20"/>
      <c r="J42" s="20"/>
      <c r="K42" s="20"/>
      <c r="L42" s="20"/>
      <c r="M42" s="20"/>
      <c r="N42" s="20"/>
      <c r="O42" s="20"/>
      <c r="P42" s="20"/>
      <c r="Q42" s="20"/>
    </row>
    <row r="43" spans="1:17" ht="14.45" customHeight="1" thickTop="1" x14ac:dyDescent="0.3">
      <c r="A43" s="209" t="s">
        <v>137</v>
      </c>
      <c r="B43" s="209"/>
      <c r="C43" s="209"/>
      <c r="D43" s="209"/>
      <c r="E43" s="209"/>
      <c r="F43" s="209"/>
      <c r="G43" s="209"/>
      <c r="H43" s="209"/>
      <c r="I43" s="209"/>
      <c r="J43" s="209"/>
      <c r="K43" s="209"/>
      <c r="L43" s="209"/>
      <c r="M43" s="209"/>
      <c r="N43" s="209"/>
      <c r="O43" s="209"/>
      <c r="P43" s="209"/>
      <c r="Q43" s="209"/>
    </row>
    <row r="44" spans="1:17" x14ac:dyDescent="0.3">
      <c r="A44" s="210"/>
      <c r="B44" s="210"/>
      <c r="C44" s="210"/>
      <c r="D44" s="210"/>
      <c r="E44" s="210"/>
      <c r="F44" s="210"/>
      <c r="G44" s="210"/>
      <c r="H44" s="210"/>
      <c r="I44" s="210"/>
      <c r="J44" s="210"/>
      <c r="K44" s="210"/>
      <c r="L44" s="210"/>
      <c r="M44" s="210"/>
      <c r="N44" s="210"/>
      <c r="O44" s="210"/>
      <c r="P44" s="210"/>
      <c r="Q44" s="210"/>
    </row>
    <row r="45" spans="1:17" x14ac:dyDescent="0.3">
      <c r="A45" s="163"/>
      <c r="B45" s="163"/>
      <c r="C45" s="163"/>
      <c r="D45" s="163"/>
      <c r="E45" s="163"/>
      <c r="F45" s="163"/>
      <c r="G45" s="163"/>
      <c r="H45" s="163"/>
      <c r="I45" s="163"/>
      <c r="J45" s="163"/>
      <c r="K45" s="163"/>
      <c r="L45" s="163"/>
      <c r="M45" s="163"/>
      <c r="N45" s="163"/>
      <c r="O45" s="163"/>
      <c r="P45" s="163"/>
      <c r="Q45" s="163"/>
    </row>
    <row r="46" spans="1:17" x14ac:dyDescent="0.3">
      <c r="A46" s="163"/>
      <c r="B46" s="163"/>
      <c r="C46" s="163"/>
      <c r="D46" s="163"/>
      <c r="E46" s="163"/>
      <c r="F46" s="163"/>
      <c r="G46" s="163"/>
      <c r="H46" s="163"/>
      <c r="I46" s="163"/>
      <c r="J46" s="163"/>
      <c r="K46" s="163"/>
      <c r="L46" s="163"/>
      <c r="M46" s="163"/>
      <c r="N46" s="163"/>
      <c r="O46" s="163"/>
      <c r="P46" s="163"/>
      <c r="Q46" s="163"/>
    </row>
  </sheetData>
  <mergeCells count="3">
    <mergeCell ref="G25:I37"/>
    <mergeCell ref="G7:I21"/>
    <mergeCell ref="A43:Q44"/>
  </mergeCells>
  <pageMargins left="0.7" right="0.7" top="0.75" bottom="0.75" header="0.3" footer="0.3"/>
  <pageSetup scale="80" orientation="landscape" r:id="rId1"/>
  <headerFooter>
    <oddFooter>&amp;C&amp;K00-013DWSD Drainage Credit Calculator- Draft</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R20"/>
  <sheetViews>
    <sheetView showGridLines="0" zoomScaleNormal="100" workbookViewId="0">
      <selection activeCell="C10" sqref="C10:K10"/>
    </sheetView>
  </sheetViews>
  <sheetFormatPr defaultColWidth="8.85546875" defaultRowHeight="16.5" x14ac:dyDescent="0.3"/>
  <cols>
    <col min="1" max="6" width="8.85546875" style="19"/>
    <col min="7" max="7" width="3.7109375" style="19" customWidth="1"/>
    <col min="8" max="8" width="7.28515625" style="19" customWidth="1"/>
    <col min="9" max="16384" width="8.85546875" style="19"/>
  </cols>
  <sheetData>
    <row r="1" spans="1:18" ht="20.25" thickBot="1" x14ac:dyDescent="0.35">
      <c r="A1" s="17" t="s">
        <v>171</v>
      </c>
      <c r="B1" s="17"/>
      <c r="C1" s="17"/>
      <c r="D1" s="17"/>
      <c r="E1" s="17"/>
      <c r="F1" s="17"/>
      <c r="G1" s="17"/>
      <c r="H1" s="17"/>
      <c r="I1" s="17"/>
      <c r="J1" s="17"/>
      <c r="K1" s="17"/>
      <c r="L1" s="17"/>
      <c r="M1" s="17"/>
      <c r="N1" s="17"/>
      <c r="O1" s="17"/>
      <c r="P1" s="17"/>
      <c r="Q1" s="17"/>
    </row>
    <row r="2" spans="1:18" ht="17.25" thickTop="1" x14ac:dyDescent="0.3">
      <c r="A2" s="19" t="s">
        <v>175</v>
      </c>
    </row>
    <row r="3" spans="1:18" x14ac:dyDescent="0.3">
      <c r="A3" s="19" t="s">
        <v>113</v>
      </c>
    </row>
    <row r="4" spans="1:18" x14ac:dyDescent="0.3">
      <c r="A4" s="19" t="s">
        <v>105</v>
      </c>
    </row>
    <row r="6" spans="1:18" x14ac:dyDescent="0.3">
      <c r="A6" s="211" t="s">
        <v>156</v>
      </c>
      <c r="B6" s="211"/>
      <c r="C6" s="212" t="s">
        <v>157</v>
      </c>
      <c r="D6" s="213"/>
      <c r="E6" s="213"/>
      <c r="F6" s="213"/>
      <c r="G6" s="213"/>
      <c r="H6" s="213"/>
      <c r="I6" s="213"/>
      <c r="J6" s="213"/>
      <c r="K6" s="214"/>
    </row>
    <row r="7" spans="1:18" ht="27.6" customHeight="1" x14ac:dyDescent="0.3">
      <c r="A7" s="218" t="s">
        <v>158</v>
      </c>
      <c r="B7" s="218"/>
      <c r="C7" s="215" t="s">
        <v>160</v>
      </c>
      <c r="D7" s="215"/>
      <c r="E7" s="215"/>
      <c r="F7" s="215"/>
      <c r="G7" s="215"/>
      <c r="H7" s="215"/>
      <c r="I7" s="215"/>
      <c r="J7" s="215"/>
      <c r="K7" s="215"/>
    </row>
    <row r="8" spans="1:18" s="71" customFormat="1" ht="25.9" customHeight="1" x14ac:dyDescent="0.3">
      <c r="A8" s="217" t="s">
        <v>159</v>
      </c>
      <c r="B8" s="217"/>
      <c r="C8" s="216" t="s">
        <v>199</v>
      </c>
      <c r="D8" s="216"/>
      <c r="E8" s="216"/>
      <c r="F8" s="216"/>
      <c r="G8" s="216"/>
      <c r="H8" s="216"/>
      <c r="I8" s="216"/>
      <c r="J8" s="216"/>
      <c r="K8" s="216"/>
    </row>
    <row r="9" spans="1:18" s="71" customFormat="1" x14ac:dyDescent="0.3">
      <c r="A9" s="219" t="s">
        <v>200</v>
      </c>
      <c r="B9" s="219"/>
      <c r="C9" s="215" t="s">
        <v>161</v>
      </c>
      <c r="D9" s="215"/>
      <c r="E9" s="215"/>
      <c r="F9" s="215"/>
      <c r="G9" s="215"/>
      <c r="H9" s="215"/>
      <c r="I9" s="215"/>
      <c r="J9" s="215"/>
      <c r="K9" s="215"/>
    </row>
    <row r="10" spans="1:18" s="71" customFormat="1" ht="29.45" customHeight="1" x14ac:dyDescent="0.3">
      <c r="A10" s="220" t="s">
        <v>106</v>
      </c>
      <c r="B10" s="220"/>
      <c r="C10" s="216" t="s">
        <v>201</v>
      </c>
      <c r="D10" s="216"/>
      <c r="E10" s="216"/>
      <c r="F10" s="216"/>
      <c r="G10" s="216"/>
      <c r="H10" s="216"/>
      <c r="I10" s="216"/>
      <c r="J10" s="216"/>
      <c r="K10" s="216"/>
    </row>
    <row r="11" spans="1:18" s="71" customFormat="1" x14ac:dyDescent="0.3"/>
    <row r="12" spans="1:18" s="71" customFormat="1" x14ac:dyDescent="0.3">
      <c r="A12" s="71" t="s">
        <v>162</v>
      </c>
    </row>
    <row r="14" spans="1:18" ht="17.25" thickBot="1" x14ac:dyDescent="0.35">
      <c r="A14" s="38" t="s">
        <v>107</v>
      </c>
      <c r="B14" s="164"/>
      <c r="C14" s="164"/>
      <c r="D14" s="164"/>
      <c r="E14" s="164"/>
      <c r="F14" s="164"/>
      <c r="G14" s="49"/>
      <c r="H14" s="49"/>
      <c r="I14" s="49"/>
      <c r="J14" s="49"/>
      <c r="K14" s="49"/>
      <c r="L14" s="49"/>
      <c r="M14" s="49"/>
      <c r="N14" s="49"/>
      <c r="O14" s="49"/>
      <c r="P14" s="49"/>
      <c r="Q14" s="49"/>
      <c r="R14" s="49"/>
    </row>
    <row r="15" spans="1:18" x14ac:dyDescent="0.3">
      <c r="A15" s="19" t="s">
        <v>155</v>
      </c>
    </row>
    <row r="16" spans="1:18" x14ac:dyDescent="0.3">
      <c r="A16" s="19" t="s">
        <v>108</v>
      </c>
    </row>
    <row r="18" spans="1:17" ht="18" thickBot="1" x14ac:dyDescent="0.35">
      <c r="A18" s="151" t="s">
        <v>83</v>
      </c>
      <c r="B18" s="145"/>
      <c r="C18" s="145"/>
      <c r="D18" s="145"/>
      <c r="E18" s="145"/>
      <c r="F18" s="145"/>
      <c r="G18" s="145"/>
      <c r="H18" s="20"/>
      <c r="I18" s="20"/>
      <c r="J18" s="20"/>
      <c r="K18" s="20"/>
      <c r="L18" s="20"/>
      <c r="M18" s="20"/>
      <c r="N18" s="20"/>
      <c r="O18" s="20"/>
      <c r="P18" s="20"/>
      <c r="Q18" s="20"/>
    </row>
    <row r="19" spans="1:17" ht="17.25" thickTop="1" x14ac:dyDescent="0.3">
      <c r="A19" s="209" t="s">
        <v>137</v>
      </c>
      <c r="B19" s="209"/>
      <c r="C19" s="209"/>
      <c r="D19" s="209"/>
      <c r="E19" s="209"/>
      <c r="F19" s="209"/>
      <c r="G19" s="209"/>
      <c r="H19" s="209"/>
      <c r="I19" s="209"/>
      <c r="J19" s="209"/>
      <c r="K19" s="209"/>
      <c r="L19" s="209"/>
      <c r="M19" s="209"/>
      <c r="N19" s="209"/>
      <c r="O19" s="209"/>
      <c r="P19" s="209"/>
      <c r="Q19" s="209"/>
    </row>
    <row r="20" spans="1:17" x14ac:dyDescent="0.3">
      <c r="A20" s="210"/>
      <c r="B20" s="210"/>
      <c r="C20" s="210"/>
      <c r="D20" s="210"/>
      <c r="E20" s="210"/>
      <c r="F20" s="210"/>
      <c r="G20" s="210"/>
      <c r="H20" s="210"/>
      <c r="I20" s="210"/>
      <c r="J20" s="210"/>
      <c r="K20" s="210"/>
      <c r="L20" s="210"/>
      <c r="M20" s="210"/>
      <c r="N20" s="210"/>
      <c r="O20" s="210"/>
      <c r="P20" s="210"/>
      <c r="Q20" s="210"/>
    </row>
  </sheetData>
  <mergeCells count="11">
    <mergeCell ref="A6:B6"/>
    <mergeCell ref="C6:K6"/>
    <mergeCell ref="A19:Q20"/>
    <mergeCell ref="C7:K7"/>
    <mergeCell ref="C8:K8"/>
    <mergeCell ref="C9:K9"/>
    <mergeCell ref="C10:K10"/>
    <mergeCell ref="A8:B8"/>
    <mergeCell ref="A7:B7"/>
    <mergeCell ref="A9:B9"/>
    <mergeCell ref="A10:B10"/>
  </mergeCells>
  <pageMargins left="0.7" right="0.7" top="0.75" bottom="0.75" header="0.3" footer="0.3"/>
  <pageSetup scale="80" orientation="landscape" r:id="rId1"/>
  <headerFooter>
    <oddFooter>&amp;C&amp;K00-014DWSD Drainage Credit Calculator- Draft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N33"/>
  <sheetViews>
    <sheetView showGridLines="0" view="pageLayout" zoomScale="70" zoomScaleNormal="80" zoomScalePageLayoutView="70" workbookViewId="0">
      <selection activeCell="A4" sqref="A4:L9"/>
    </sheetView>
  </sheetViews>
  <sheetFormatPr defaultRowHeight="15" x14ac:dyDescent="0.25"/>
  <cols>
    <col min="1" max="1" width="10.28515625" customWidth="1"/>
    <col min="2" max="3" width="12.140625" customWidth="1"/>
    <col min="4" max="4" width="10.28515625" customWidth="1"/>
    <col min="5" max="5" width="0.5703125" customWidth="1"/>
    <col min="6" max="7" width="14.28515625" customWidth="1"/>
    <col min="8" max="8" width="17" customWidth="1"/>
    <col min="9" max="9" width="1.7109375" customWidth="1"/>
    <col min="10" max="10" width="0.7109375" customWidth="1"/>
    <col min="11" max="11" width="10.28515625" customWidth="1"/>
  </cols>
  <sheetData>
    <row r="1" spans="1:12" ht="14.45" customHeight="1" thickBot="1" x14ac:dyDescent="0.35">
      <c r="A1" s="225" t="s">
        <v>72</v>
      </c>
      <c r="B1" s="225"/>
      <c r="C1" s="225"/>
      <c r="D1" s="225"/>
      <c r="E1" s="225"/>
      <c r="F1" s="225"/>
      <c r="G1" s="225"/>
      <c r="H1" s="225"/>
      <c r="I1" s="225"/>
      <c r="J1" s="225"/>
      <c r="K1" s="225"/>
      <c r="L1" s="19"/>
    </row>
    <row r="2" spans="1:12" ht="15" customHeight="1" thickTop="1" thickBot="1" x14ac:dyDescent="0.35">
      <c r="A2" s="225"/>
      <c r="B2" s="225"/>
      <c r="C2" s="225"/>
      <c r="D2" s="225"/>
      <c r="E2" s="225"/>
      <c r="F2" s="225"/>
      <c r="G2" s="225"/>
      <c r="H2" s="225"/>
      <c r="I2" s="225"/>
      <c r="J2" s="225"/>
      <c r="K2" s="225"/>
      <c r="L2" s="17"/>
    </row>
    <row r="3" spans="1:12" ht="15" customHeight="1" thickTop="1" x14ac:dyDescent="0.3">
      <c r="A3" s="19"/>
      <c r="B3" s="19"/>
      <c r="C3" s="19"/>
      <c r="D3" s="19"/>
      <c r="E3" s="19"/>
      <c r="F3" s="19"/>
      <c r="G3" s="19"/>
      <c r="H3" s="19"/>
      <c r="I3" s="19"/>
      <c r="J3" s="19"/>
      <c r="K3" s="19"/>
      <c r="L3" s="19"/>
    </row>
    <row r="4" spans="1:12" ht="14.45" customHeight="1" x14ac:dyDescent="0.25">
      <c r="A4" s="235" t="s">
        <v>198</v>
      </c>
      <c r="B4" s="235"/>
      <c r="C4" s="235"/>
      <c r="D4" s="235"/>
      <c r="E4" s="235"/>
      <c r="F4" s="235"/>
      <c r="G4" s="235"/>
      <c r="H4" s="235"/>
      <c r="I4" s="235"/>
      <c r="J4" s="235"/>
      <c r="K4" s="235"/>
      <c r="L4" s="235"/>
    </row>
    <row r="5" spans="1:12" x14ac:dyDescent="0.25">
      <c r="A5" s="235"/>
      <c r="B5" s="235"/>
      <c r="C5" s="235"/>
      <c r="D5" s="235"/>
      <c r="E5" s="235"/>
      <c r="F5" s="235"/>
      <c r="G5" s="235"/>
      <c r="H5" s="235"/>
      <c r="I5" s="235"/>
      <c r="J5" s="235"/>
      <c r="K5" s="235"/>
      <c r="L5" s="235"/>
    </row>
    <row r="6" spans="1:12" ht="14.45" customHeight="1" x14ac:dyDescent="0.25">
      <c r="A6" s="235"/>
      <c r="B6" s="235"/>
      <c r="C6" s="235"/>
      <c r="D6" s="235"/>
      <c r="E6" s="235"/>
      <c r="F6" s="235"/>
      <c r="G6" s="235"/>
      <c r="H6" s="235"/>
      <c r="I6" s="235"/>
      <c r="J6" s="235"/>
      <c r="K6" s="235"/>
      <c r="L6" s="235"/>
    </row>
    <row r="7" spans="1:12" x14ac:dyDescent="0.25">
      <c r="A7" s="235"/>
      <c r="B7" s="235"/>
      <c r="C7" s="235"/>
      <c r="D7" s="235"/>
      <c r="E7" s="235"/>
      <c r="F7" s="235"/>
      <c r="G7" s="235"/>
      <c r="H7" s="235"/>
      <c r="I7" s="235"/>
      <c r="J7" s="236"/>
      <c r="K7" s="235"/>
      <c r="L7" s="235"/>
    </row>
    <row r="8" spans="1:12" ht="14.45" customHeight="1" x14ac:dyDescent="0.25">
      <c r="A8" s="235"/>
      <c r="B8" s="235"/>
      <c r="C8" s="235"/>
      <c r="D8" s="235"/>
      <c r="E8" s="235"/>
      <c r="F8" s="235"/>
      <c r="G8" s="235"/>
      <c r="H8" s="235"/>
      <c r="I8" s="235"/>
      <c r="J8" s="235"/>
      <c r="K8" s="235"/>
      <c r="L8" s="235"/>
    </row>
    <row r="9" spans="1:12" x14ac:dyDescent="0.25">
      <c r="A9" s="235"/>
      <c r="B9" s="235"/>
      <c r="C9" s="235"/>
      <c r="D9" s="235"/>
      <c r="E9" s="235"/>
      <c r="F9" s="235"/>
      <c r="G9" s="235"/>
      <c r="H9" s="235"/>
      <c r="I9" s="235"/>
      <c r="J9" s="235"/>
      <c r="K9" s="235"/>
      <c r="L9" s="235"/>
    </row>
    <row r="10" spans="1:12" ht="16.5" x14ac:dyDescent="0.3">
      <c r="A10" s="19"/>
      <c r="B10" s="19"/>
      <c r="C10" s="19"/>
      <c r="D10" s="19"/>
      <c r="E10" s="19"/>
      <c r="F10" s="19"/>
      <c r="G10" s="19"/>
      <c r="H10" s="19"/>
      <c r="I10" s="19"/>
      <c r="J10" s="19"/>
      <c r="K10" s="19"/>
      <c r="L10" s="19"/>
    </row>
    <row r="11" spans="1:12" ht="16.5" x14ac:dyDescent="0.3">
      <c r="A11" s="19"/>
      <c r="B11" s="19"/>
      <c r="C11" s="19"/>
      <c r="D11" s="19"/>
      <c r="E11" s="19"/>
      <c r="F11" s="19"/>
      <c r="G11" s="19"/>
      <c r="H11" s="19"/>
      <c r="I11" s="19"/>
      <c r="J11" s="19"/>
      <c r="K11" s="19"/>
      <c r="L11" s="19"/>
    </row>
    <row r="12" spans="1:12" ht="16.5" x14ac:dyDescent="0.3">
      <c r="A12" s="19"/>
      <c r="B12" s="19"/>
      <c r="C12" s="19"/>
      <c r="D12" s="19"/>
      <c r="E12" s="19"/>
      <c r="F12" s="19"/>
      <c r="G12" s="19"/>
      <c r="H12" s="19"/>
      <c r="I12" s="19"/>
      <c r="J12" s="19"/>
      <c r="K12" s="19"/>
      <c r="L12" s="19"/>
    </row>
    <row r="13" spans="1:12" ht="17.25" thickBot="1" x14ac:dyDescent="0.35">
      <c r="A13" s="34"/>
      <c r="B13" s="27"/>
      <c r="C13" s="27"/>
      <c r="D13" s="27"/>
      <c r="E13" s="27"/>
      <c r="F13" s="27"/>
      <c r="G13" s="27"/>
      <c r="H13" s="19"/>
      <c r="I13" s="19"/>
      <c r="J13" s="19"/>
      <c r="K13" s="19"/>
      <c r="L13" s="19"/>
    </row>
    <row r="14" spans="1:12" ht="30" customHeight="1" x14ac:dyDescent="0.3">
      <c r="A14" s="19"/>
      <c r="B14" s="226" t="s">
        <v>135</v>
      </c>
      <c r="C14" s="227"/>
      <c r="D14" s="227"/>
      <c r="E14" s="228"/>
      <c r="F14" s="27"/>
      <c r="G14" s="226" t="s">
        <v>134</v>
      </c>
      <c r="H14" s="227"/>
      <c r="I14" s="227"/>
      <c r="J14" s="228"/>
      <c r="K14" s="19"/>
      <c r="L14" s="19"/>
    </row>
    <row r="15" spans="1:12" ht="15.6" customHeight="1" x14ac:dyDescent="0.3">
      <c r="A15" s="19"/>
      <c r="B15" s="229"/>
      <c r="C15" s="230"/>
      <c r="D15" s="230"/>
      <c r="E15" s="231"/>
      <c r="F15" s="27"/>
      <c r="G15" s="229"/>
      <c r="H15" s="230"/>
      <c r="I15" s="230"/>
      <c r="J15" s="231"/>
      <c r="K15" s="19"/>
      <c r="L15" s="19"/>
    </row>
    <row r="16" spans="1:12" ht="15.6" customHeight="1" x14ac:dyDescent="0.3">
      <c r="A16" s="19"/>
      <c r="B16" s="229"/>
      <c r="C16" s="230"/>
      <c r="D16" s="230"/>
      <c r="E16" s="231"/>
      <c r="F16" s="27"/>
      <c r="G16" s="229"/>
      <c r="H16" s="230"/>
      <c r="I16" s="230"/>
      <c r="J16" s="231"/>
      <c r="K16" s="19"/>
      <c r="L16" s="19"/>
    </row>
    <row r="17" spans="1:14" ht="15.6" customHeight="1" thickBot="1" x14ac:dyDescent="0.35">
      <c r="A17" s="19"/>
      <c r="B17" s="232"/>
      <c r="C17" s="233"/>
      <c r="D17" s="233"/>
      <c r="E17" s="234"/>
      <c r="F17" s="27"/>
      <c r="G17" s="232"/>
      <c r="H17" s="233"/>
      <c r="I17" s="233"/>
      <c r="J17" s="234"/>
      <c r="K17" s="19"/>
      <c r="L17" s="19"/>
    </row>
    <row r="18" spans="1:14" ht="15.6" customHeight="1" x14ac:dyDescent="0.3">
      <c r="A18" s="19"/>
      <c r="B18" s="29"/>
      <c r="C18" s="29"/>
      <c r="D18" s="29"/>
      <c r="E18" s="29"/>
      <c r="F18" s="27"/>
      <c r="G18" s="29"/>
      <c r="H18" s="29"/>
      <c r="I18" s="29"/>
      <c r="J18" s="29"/>
      <c r="K18" s="19"/>
      <c r="L18" s="19"/>
    </row>
    <row r="19" spans="1:14" ht="15.6" customHeight="1" x14ac:dyDescent="0.3">
      <c r="A19" s="19"/>
      <c r="B19" s="29"/>
      <c r="C19" s="221" t="s">
        <v>33</v>
      </c>
      <c r="D19" s="221"/>
      <c r="E19" s="29"/>
      <c r="F19" s="35">
        <v>0.1</v>
      </c>
      <c r="G19" s="29"/>
      <c r="H19" s="29"/>
      <c r="I19" s="29"/>
      <c r="J19" s="29"/>
      <c r="K19" s="19"/>
      <c r="L19" s="19"/>
    </row>
    <row r="20" spans="1:14" ht="16.149999999999999" customHeight="1" x14ac:dyDescent="0.3">
      <c r="A20" s="19"/>
      <c r="B20" s="19"/>
      <c r="C20" s="27"/>
      <c r="D20" s="21" t="s">
        <v>141</v>
      </c>
      <c r="E20" s="27"/>
      <c r="F20" s="36">
        <f>F19*72</f>
        <v>7.2</v>
      </c>
      <c r="G20" s="19"/>
      <c r="H20" s="19"/>
      <c r="I20" s="19"/>
      <c r="J20" s="19"/>
      <c r="K20" s="19"/>
      <c r="L20" s="19"/>
    </row>
    <row r="21" spans="1:14" ht="18" thickBot="1" x14ac:dyDescent="0.35">
      <c r="A21" s="37" t="s">
        <v>74</v>
      </c>
      <c r="B21" s="20"/>
      <c r="C21" s="20"/>
      <c r="D21" s="20"/>
      <c r="E21" s="20"/>
      <c r="F21" s="20"/>
      <c r="G21" s="20"/>
      <c r="H21" s="20"/>
      <c r="I21" s="20"/>
      <c r="J21" s="20"/>
      <c r="K21" s="20"/>
      <c r="L21" s="20"/>
    </row>
    <row r="22" spans="1:14" ht="39" thickTop="1" x14ac:dyDescent="0.3">
      <c r="A22" s="24" t="s">
        <v>71</v>
      </c>
      <c r="B22" s="24" t="s">
        <v>76</v>
      </c>
      <c r="C22" s="24" t="s">
        <v>75</v>
      </c>
      <c r="D22" s="24" t="s">
        <v>163</v>
      </c>
      <c r="E22" s="222" t="s">
        <v>73</v>
      </c>
      <c r="F22" s="222"/>
      <c r="G22" s="24" t="s">
        <v>164</v>
      </c>
      <c r="H22" s="24" t="s">
        <v>77</v>
      </c>
      <c r="I22" s="19"/>
      <c r="J22" s="19"/>
      <c r="K22" s="24" t="s">
        <v>44</v>
      </c>
      <c r="L22" s="24" t="s">
        <v>45</v>
      </c>
    </row>
    <row r="23" spans="1:14" ht="16.5" x14ac:dyDescent="0.3">
      <c r="A23" s="30">
        <v>1</v>
      </c>
      <c r="B23" s="22">
        <v>4</v>
      </c>
      <c r="C23" s="22">
        <v>15</v>
      </c>
      <c r="D23" s="22">
        <v>0.2</v>
      </c>
      <c r="E23" s="223">
        <v>20</v>
      </c>
      <c r="F23" s="224"/>
      <c r="G23" s="22">
        <v>0.3</v>
      </c>
      <c r="H23" s="22">
        <v>25</v>
      </c>
      <c r="I23" s="30"/>
      <c r="J23" s="30"/>
      <c r="K23" s="23">
        <f>IF(H23&gt;E23,(E23*G23)+((H23-E23)*D23),IF(H23=E23,G23*E23,IF(H23&lt;E23,(H23*G23))))</f>
        <v>7</v>
      </c>
      <c r="L23" s="23">
        <f>IF(H23&gt;E23,(SUM(C23,E23)-H23)*D23+B23,IF(H23=E23,D23*C23+B23,IF(H23&lt;E23,(C23*D23+B23+(E23-H23)*G23))))</f>
        <v>6</v>
      </c>
    </row>
    <row r="24" spans="1:14" ht="14.45" customHeight="1" x14ac:dyDescent="0.3">
      <c r="A24" s="30">
        <v>2</v>
      </c>
      <c r="B24" s="22"/>
      <c r="C24" s="22"/>
      <c r="D24" s="22"/>
      <c r="E24" s="199"/>
      <c r="F24" s="199"/>
      <c r="G24" s="22"/>
      <c r="H24" s="22"/>
      <c r="I24" s="30"/>
      <c r="J24" s="30"/>
      <c r="K24" s="23">
        <f>IF(H24&gt;E24,(E24*G24)+((H24-E24)*D24),IF(H24=E24,G24*E24,IF(H24&lt;E24,(H24*G24))))</f>
        <v>0</v>
      </c>
      <c r="L24" s="68">
        <f t="shared" ref="L24:L27" si="0">IF(H24&gt;E24,(SUM(C24,E24)-H24)*D24+B24,IF(H24=E24,D24*C24+B24,IF(H24&lt;E24,(C24*D24+B24+(E24-H24)*G24))))</f>
        <v>0</v>
      </c>
    </row>
    <row r="25" spans="1:14" ht="16.5" x14ac:dyDescent="0.3">
      <c r="A25" s="30">
        <v>3</v>
      </c>
      <c r="B25" s="22"/>
      <c r="C25" s="22"/>
      <c r="D25" s="22"/>
      <c r="E25" s="199"/>
      <c r="F25" s="199"/>
      <c r="G25" s="22"/>
      <c r="H25" s="22"/>
      <c r="I25" s="30"/>
      <c r="J25" s="30"/>
      <c r="K25" s="23">
        <f>IF(H25&gt;E25,(E25*G25)+((H25-E25)*D25),IF(H25=E25,G25*E25,IF(H25&lt;E25,(H25*G25))))</f>
        <v>0</v>
      </c>
      <c r="L25" s="68">
        <f t="shared" si="0"/>
        <v>0</v>
      </c>
    </row>
    <row r="26" spans="1:14" ht="16.5" x14ac:dyDescent="0.3">
      <c r="A26" s="30">
        <v>4</v>
      </c>
      <c r="B26" s="22"/>
      <c r="C26" s="22"/>
      <c r="D26" s="22"/>
      <c r="E26" s="199"/>
      <c r="F26" s="199"/>
      <c r="G26" s="22"/>
      <c r="H26" s="22"/>
      <c r="I26" s="30"/>
      <c r="J26" s="30"/>
      <c r="K26" s="23">
        <f>IF(H26&gt;E26,(E26*G26)+((H26-E26)*D26),IF(H26=E26,G26*E26,IF(H26&lt;E26,(H26*G26))))</f>
        <v>0</v>
      </c>
      <c r="L26" s="68">
        <f t="shared" si="0"/>
        <v>0</v>
      </c>
    </row>
    <row r="27" spans="1:14" ht="16.5" x14ac:dyDescent="0.3">
      <c r="A27" s="30">
        <v>5</v>
      </c>
      <c r="B27" s="22"/>
      <c r="C27" s="22"/>
      <c r="D27" s="22"/>
      <c r="E27" s="199"/>
      <c r="F27" s="199"/>
      <c r="G27" s="22"/>
      <c r="H27" s="22"/>
      <c r="I27" s="30"/>
      <c r="J27" s="30"/>
      <c r="K27" s="23">
        <f>IF(H27&gt;E27,(E27*G27)+((H27-E27)*D27),IF(H27=E27,G27*E27,IF(H27&lt;E27,(H27*G27))))</f>
        <v>0</v>
      </c>
      <c r="L27" s="68">
        <f t="shared" si="0"/>
        <v>0</v>
      </c>
    </row>
    <row r="28" spans="1:14" ht="16.5" x14ac:dyDescent="0.3">
      <c r="A28" s="19"/>
      <c r="B28" s="19"/>
      <c r="C28" s="19"/>
      <c r="D28" s="19"/>
      <c r="E28" s="19"/>
      <c r="F28" s="19"/>
      <c r="G28" s="19"/>
      <c r="H28" s="19"/>
      <c r="I28" s="19"/>
      <c r="J28" s="19"/>
      <c r="K28" s="19"/>
      <c r="L28" s="19"/>
    </row>
    <row r="29" spans="1:14" ht="18" thickBot="1" x14ac:dyDescent="0.35">
      <c r="A29" s="145" t="s">
        <v>83</v>
      </c>
      <c r="B29" s="145"/>
      <c r="C29" s="145"/>
      <c r="D29" s="145"/>
      <c r="E29" s="145"/>
      <c r="F29" s="145"/>
      <c r="G29" s="145"/>
      <c r="H29" s="20"/>
      <c r="I29" s="20"/>
      <c r="J29" s="20"/>
      <c r="K29" s="20"/>
      <c r="L29" s="20"/>
      <c r="M29" s="20"/>
      <c r="N29" s="20"/>
    </row>
    <row r="30" spans="1:14" ht="15" customHeight="1" thickTop="1" x14ac:dyDescent="0.25">
      <c r="A30" s="209" t="s">
        <v>137</v>
      </c>
      <c r="B30" s="209"/>
      <c r="C30" s="209"/>
      <c r="D30" s="209"/>
      <c r="E30" s="209"/>
      <c r="F30" s="209"/>
      <c r="G30" s="209"/>
      <c r="H30" s="209"/>
      <c r="I30" s="209"/>
      <c r="J30" s="209"/>
      <c r="K30" s="209"/>
      <c r="L30" s="209"/>
      <c r="M30" s="209"/>
      <c r="N30" s="209"/>
    </row>
    <row r="31" spans="1:14" x14ac:dyDescent="0.25">
      <c r="A31" s="210"/>
      <c r="B31" s="210"/>
      <c r="C31" s="210"/>
      <c r="D31" s="210"/>
      <c r="E31" s="210"/>
      <c r="F31" s="210"/>
      <c r="G31" s="210"/>
      <c r="H31" s="210"/>
      <c r="I31" s="210"/>
      <c r="J31" s="210"/>
      <c r="K31" s="210"/>
      <c r="L31" s="210"/>
      <c r="M31" s="210"/>
      <c r="N31" s="210"/>
    </row>
    <row r="32" spans="1:14" x14ac:dyDescent="0.25">
      <c r="A32" s="210"/>
      <c r="B32" s="210"/>
      <c r="C32" s="210"/>
      <c r="D32" s="210"/>
      <c r="E32" s="210"/>
      <c r="F32" s="210"/>
      <c r="G32" s="210"/>
      <c r="H32" s="210"/>
      <c r="I32" s="210"/>
      <c r="J32" s="210"/>
      <c r="K32" s="210"/>
      <c r="L32" s="210"/>
      <c r="M32" s="210"/>
      <c r="N32" s="210"/>
    </row>
    <row r="33" spans="1:1" ht="16.5" x14ac:dyDescent="0.3">
      <c r="A33" s="71" t="s">
        <v>197</v>
      </c>
    </row>
  </sheetData>
  <mergeCells count="12">
    <mergeCell ref="A30:N32"/>
    <mergeCell ref="C19:D19"/>
    <mergeCell ref="E22:F22"/>
    <mergeCell ref="E23:F23"/>
    <mergeCell ref="A1:K2"/>
    <mergeCell ref="B14:E17"/>
    <mergeCell ref="G14:J17"/>
    <mergeCell ref="E24:F24"/>
    <mergeCell ref="E25:F25"/>
    <mergeCell ref="E26:F26"/>
    <mergeCell ref="E27:F27"/>
    <mergeCell ref="A4:L9"/>
  </mergeCells>
  <conditionalFormatting sqref="K23:K29">
    <cfRule type="expression" dxfId="67" priority="3">
      <formula>"$K23&gt;$F$20"</formula>
    </cfRule>
  </conditionalFormatting>
  <conditionalFormatting sqref="K23:K29">
    <cfRule type="expression" dxfId="66" priority="2">
      <formula>$K23&gt;$F$20</formula>
    </cfRule>
  </conditionalFormatting>
  <conditionalFormatting sqref="L23:L27">
    <cfRule type="expression" dxfId="65" priority="1">
      <formula>$L23&gt;$F$20</formula>
    </cfRule>
  </conditionalFormatting>
  <pageMargins left="0.7" right="0.7" top="0.75" bottom="0.75" header="0.3" footer="0.3"/>
  <pageSetup scale="95" orientation="landscape" r:id="rId1"/>
  <headerFooter>
    <oddFooter>&amp;C&amp;K00-020DWSD Drainage Credit Calculator- Draft</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I37"/>
  <sheetViews>
    <sheetView showGridLines="0" tabSelected="1" view="pageLayout" topLeftCell="A19" zoomScale="70" zoomScaleNormal="70" zoomScalePageLayoutView="70" workbookViewId="0">
      <selection activeCell="U20" sqref="U20"/>
    </sheetView>
  </sheetViews>
  <sheetFormatPr defaultColWidth="8.85546875" defaultRowHeight="15" x14ac:dyDescent="0.25"/>
  <cols>
    <col min="1" max="1" width="7.7109375" style="84" customWidth="1"/>
    <col min="2" max="2" width="9.7109375" style="84" customWidth="1"/>
    <col min="3" max="3" width="9.140625" style="84" customWidth="1"/>
    <col min="4" max="4" width="7.42578125" style="84" customWidth="1"/>
    <col min="5" max="5" width="9.85546875" style="84" customWidth="1"/>
    <col min="6" max="6" width="14.7109375" style="84" hidden="1" customWidth="1"/>
    <col min="7" max="7" width="13.140625" style="84" customWidth="1"/>
    <col min="8" max="8" width="1.85546875" style="84" customWidth="1"/>
    <col min="9" max="9" width="10.85546875" style="84" customWidth="1"/>
    <col min="10" max="10" width="2.28515625" style="84" customWidth="1"/>
    <col min="11" max="11" width="9.28515625" style="84" customWidth="1"/>
    <col min="12" max="12" width="11.7109375" style="84" customWidth="1"/>
    <col min="13" max="13" width="8.140625" style="84" customWidth="1"/>
    <col min="14" max="14" width="8.7109375" style="84" customWidth="1"/>
    <col min="15" max="15" width="9.28515625" style="84" customWidth="1"/>
    <col min="16" max="16" width="13.140625" style="84" hidden="1" customWidth="1"/>
    <col min="17" max="17" width="1.7109375" style="84" customWidth="1"/>
    <col min="18" max="18" width="11.7109375" style="84" customWidth="1"/>
    <col min="19" max="19" width="11.7109375" style="84" hidden="1" customWidth="1"/>
    <col min="20" max="20" width="7.7109375" style="84" customWidth="1"/>
    <col min="21" max="21" width="10" style="84" customWidth="1"/>
    <col min="22" max="22" width="9.28515625" style="84" customWidth="1"/>
    <col min="23" max="23" width="8.7109375" style="84" customWidth="1"/>
    <col min="24" max="24" width="1.7109375" style="84" customWidth="1"/>
    <col min="25" max="25" width="10.28515625" style="84" customWidth="1"/>
    <col min="26" max="27" width="12.85546875" style="84" hidden="1" customWidth="1"/>
    <col min="28" max="28" width="11.7109375" style="84" customWidth="1"/>
    <col min="29" max="29" width="10.5703125" style="84" customWidth="1"/>
    <col min="30" max="30" width="8.28515625" style="84" customWidth="1"/>
    <col min="31" max="31" width="12" style="84" customWidth="1"/>
    <col min="32" max="32" width="7.5703125" style="84" customWidth="1"/>
    <col min="33" max="33" width="9.140625" style="84" customWidth="1"/>
    <col min="34" max="34" width="1.7109375" style="84" customWidth="1"/>
    <col min="35" max="35" width="7.7109375" style="84" customWidth="1"/>
    <col min="36" max="16384" width="8.85546875" style="84"/>
  </cols>
  <sheetData>
    <row r="1" spans="1:35" ht="24" thickBot="1" x14ac:dyDescent="0.4">
      <c r="A1" s="82" t="s">
        <v>35</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154" t="s">
        <v>82</v>
      </c>
      <c r="AF1" s="83"/>
      <c r="AG1" s="83"/>
      <c r="AH1" s="83"/>
      <c r="AI1" s="83"/>
    </row>
    <row r="2" spans="1:35" ht="17.25" thickTop="1" x14ac:dyDescent="0.3">
      <c r="A2" s="85" t="s">
        <v>166</v>
      </c>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155" t="s">
        <v>0</v>
      </c>
    </row>
    <row r="3" spans="1:35" ht="16.5" x14ac:dyDescent="0.3">
      <c r="A3" s="86"/>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156" t="s">
        <v>1</v>
      </c>
    </row>
    <row r="4" spans="1:35" ht="18" thickBot="1" x14ac:dyDescent="0.35">
      <c r="A4" s="87" t="s">
        <v>34</v>
      </c>
      <c r="B4" s="87"/>
      <c r="C4" s="87"/>
      <c r="D4" s="87"/>
      <c r="E4" s="87"/>
      <c r="F4" s="87"/>
      <c r="G4" s="87"/>
      <c r="K4" s="87" t="s">
        <v>15</v>
      </c>
      <c r="L4" s="87"/>
      <c r="M4" s="87"/>
      <c r="N4" s="87"/>
      <c r="O4" s="87"/>
      <c r="P4" s="87"/>
      <c r="Q4" s="87"/>
      <c r="R4" s="87"/>
      <c r="S4" s="88"/>
      <c r="T4" s="88"/>
      <c r="U4" s="88"/>
      <c r="V4" s="86"/>
      <c r="W4" s="86"/>
      <c r="X4" s="86"/>
      <c r="Y4" s="86"/>
      <c r="Z4" s="86"/>
      <c r="AA4" s="86"/>
      <c r="AB4" s="86"/>
      <c r="AC4" s="86"/>
      <c r="AD4" s="86"/>
      <c r="AE4" s="157" t="s">
        <v>81</v>
      </c>
    </row>
    <row r="5" spans="1:35" ht="6.6" customHeight="1" thickTop="1" x14ac:dyDescent="0.3">
      <c r="A5" s="86"/>
      <c r="B5" s="86"/>
      <c r="C5" s="86"/>
      <c r="D5" s="86"/>
      <c r="E5" s="86"/>
      <c r="F5" s="86"/>
      <c r="G5" s="86"/>
      <c r="H5" s="86"/>
      <c r="K5" s="86"/>
      <c r="L5" s="86"/>
      <c r="M5" s="86"/>
      <c r="N5" s="86"/>
      <c r="O5" s="86"/>
      <c r="P5" s="86"/>
      <c r="Q5" s="86"/>
      <c r="R5" s="86"/>
      <c r="S5" s="86"/>
      <c r="T5" s="86"/>
      <c r="U5" s="86"/>
      <c r="V5" s="86"/>
      <c r="W5" s="86"/>
      <c r="X5" s="86"/>
      <c r="Y5" s="86"/>
      <c r="Z5" s="86"/>
      <c r="AA5" s="86"/>
      <c r="AB5" s="86"/>
      <c r="AC5" s="86"/>
      <c r="AD5" s="86"/>
    </row>
    <row r="6" spans="1:35" ht="16.5" x14ac:dyDescent="0.3">
      <c r="A6" s="86"/>
      <c r="B6" s="89" t="s">
        <v>36</v>
      </c>
      <c r="C6" s="255"/>
      <c r="D6" s="255"/>
      <c r="E6" s="255"/>
      <c r="F6" s="86"/>
      <c r="G6" s="86"/>
      <c r="H6" s="86"/>
      <c r="K6" s="90"/>
      <c r="L6" s="90"/>
      <c r="M6" s="86"/>
      <c r="N6" s="91" t="s">
        <v>32</v>
      </c>
      <c r="O6" s="159" t="s">
        <v>26</v>
      </c>
      <c r="P6" s="91"/>
      <c r="T6" s="89" t="s">
        <v>33</v>
      </c>
      <c r="U6" s="92">
        <v>0.1</v>
      </c>
      <c r="V6" s="89" t="s">
        <v>210</v>
      </c>
      <c r="Z6" s="93"/>
      <c r="AA6" s="93"/>
      <c r="AC6" s="86"/>
      <c r="AD6" s="86"/>
      <c r="AE6" s="177"/>
    </row>
    <row r="7" spans="1:35" ht="40.15" customHeight="1" thickBot="1" x14ac:dyDescent="0.35">
      <c r="A7" s="86"/>
      <c r="B7" s="86"/>
      <c r="C7" s="176" t="s">
        <v>4</v>
      </c>
      <c r="D7" s="176" t="s">
        <v>5</v>
      </c>
      <c r="E7" s="176" t="s">
        <v>123</v>
      </c>
      <c r="G7" s="181" t="s">
        <v>193</v>
      </c>
      <c r="H7" s="257" t="s">
        <v>14</v>
      </c>
      <c r="I7" s="257"/>
      <c r="J7" s="177"/>
      <c r="K7" s="87" t="s">
        <v>142</v>
      </c>
      <c r="L7" s="87"/>
      <c r="M7" s="88"/>
      <c r="N7" s="88"/>
      <c r="O7" s="88"/>
      <c r="P7" s="88"/>
      <c r="Q7" s="88"/>
      <c r="R7" s="88"/>
      <c r="S7" s="88"/>
      <c r="T7" s="88"/>
      <c r="U7" s="88"/>
      <c r="V7" s="86"/>
      <c r="W7" s="87" t="s">
        <v>215</v>
      </c>
      <c r="X7" s="87"/>
      <c r="Y7" s="88"/>
      <c r="Z7" s="88"/>
      <c r="AA7" s="88"/>
      <c r="AB7" s="88"/>
      <c r="AC7" s="88"/>
      <c r="AD7" s="88"/>
      <c r="AE7" s="88"/>
      <c r="AF7" s="88"/>
      <c r="AG7" s="88"/>
    </row>
    <row r="8" spans="1:35" ht="17.25" thickTop="1" x14ac:dyDescent="0.3">
      <c r="A8" s="86"/>
      <c r="B8" s="95">
        <v>1</v>
      </c>
      <c r="C8" s="96"/>
      <c r="D8" s="174"/>
      <c r="E8" s="174"/>
      <c r="F8" s="98"/>
      <c r="G8" s="182"/>
      <c r="H8" s="258">
        <f>E8-G8</f>
        <v>0</v>
      </c>
      <c r="I8" s="258"/>
      <c r="J8" s="177"/>
      <c r="K8" s="86"/>
      <c r="L8" s="86"/>
      <c r="M8" s="86" t="s">
        <v>119</v>
      </c>
      <c r="N8" s="86"/>
      <c r="O8" s="86" t="s">
        <v>118</v>
      </c>
      <c r="P8" s="86"/>
      <c r="Q8" s="86"/>
      <c r="R8" s="86"/>
      <c r="S8" s="86"/>
      <c r="T8" s="86"/>
      <c r="U8" s="86"/>
      <c r="V8" s="86"/>
      <c r="W8" s="261" t="s">
        <v>216</v>
      </c>
      <c r="X8" s="261"/>
      <c r="Y8" s="261"/>
      <c r="Z8" s="261"/>
      <c r="AA8" s="261"/>
      <c r="AB8" s="261"/>
      <c r="AC8" s="261"/>
      <c r="AD8" s="261"/>
      <c r="AE8" s="261"/>
      <c r="AF8" s="261"/>
      <c r="AG8" s="261"/>
    </row>
    <row r="9" spans="1:35" ht="16.5" x14ac:dyDescent="0.3">
      <c r="A9" s="86"/>
      <c r="B9" s="95">
        <v>2</v>
      </c>
      <c r="C9" s="96"/>
      <c r="D9" s="174"/>
      <c r="E9" s="174"/>
      <c r="F9" s="98"/>
      <c r="G9" s="182"/>
      <c r="H9" s="258">
        <f>E9-G9</f>
        <v>0</v>
      </c>
      <c r="I9" s="258"/>
      <c r="J9" s="177"/>
      <c r="K9" s="86"/>
      <c r="L9" s="86"/>
      <c r="M9" s="99"/>
      <c r="N9" s="86"/>
      <c r="O9" s="178">
        <f>M9/43560</f>
        <v>0</v>
      </c>
      <c r="P9" s="177"/>
      <c r="Q9" s="177"/>
      <c r="R9" s="177"/>
      <c r="S9" s="86"/>
      <c r="T9" s="86"/>
      <c r="U9" s="86"/>
      <c r="V9" s="86"/>
      <c r="W9" s="260"/>
      <c r="X9" s="260"/>
      <c r="Y9" s="260"/>
      <c r="Z9" s="260"/>
      <c r="AA9" s="260"/>
      <c r="AB9" s="260"/>
      <c r="AC9" s="260"/>
      <c r="AD9" s="260"/>
      <c r="AE9" s="260"/>
      <c r="AF9" s="260"/>
      <c r="AG9" s="260"/>
    </row>
    <row r="10" spans="1:35" ht="14.45" customHeight="1" x14ac:dyDescent="0.3">
      <c r="A10" s="86"/>
      <c r="B10" s="95">
        <v>3</v>
      </c>
      <c r="C10" s="96"/>
      <c r="D10" s="174"/>
      <c r="E10" s="174"/>
      <c r="F10" s="98"/>
      <c r="G10" s="182"/>
      <c r="H10" s="258">
        <f>E10-G10</f>
        <v>0</v>
      </c>
      <c r="I10" s="258"/>
      <c r="J10" s="177"/>
      <c r="K10" s="86"/>
      <c r="L10" s="86"/>
      <c r="M10" s="86" t="s">
        <v>118</v>
      </c>
      <c r="N10" s="86"/>
      <c r="O10" s="86" t="s">
        <v>119</v>
      </c>
      <c r="P10" s="177"/>
      <c r="Q10" s="177"/>
      <c r="R10" s="177"/>
      <c r="S10" s="86"/>
      <c r="T10" s="86"/>
      <c r="U10" s="86"/>
      <c r="V10" s="86"/>
      <c r="W10" s="260" t="s">
        <v>217</v>
      </c>
      <c r="X10" s="260"/>
      <c r="Y10" s="260"/>
      <c r="Z10" s="260"/>
      <c r="AA10" s="260"/>
      <c r="AB10" s="260"/>
      <c r="AC10" s="260"/>
      <c r="AD10" s="260"/>
      <c r="AE10" s="260"/>
      <c r="AF10" s="260"/>
      <c r="AG10" s="260"/>
      <c r="AH10" s="260"/>
    </row>
    <row r="11" spans="1:35" ht="14.45" customHeight="1" x14ac:dyDescent="0.3">
      <c r="A11" s="86"/>
      <c r="B11" s="86" t="s">
        <v>3</v>
      </c>
      <c r="C11" s="86"/>
      <c r="D11" s="175">
        <f>SUM(D8:D10)</f>
        <v>0</v>
      </c>
      <c r="E11" s="175">
        <f>SUM(E8:E10)</f>
        <v>0</v>
      </c>
      <c r="G11" s="183">
        <f>SUM(G8:G10)</f>
        <v>0</v>
      </c>
      <c r="H11" s="258">
        <f>SUM(H8:I10)</f>
        <v>0</v>
      </c>
      <c r="I11" s="258"/>
      <c r="J11" s="177"/>
      <c r="K11" s="86"/>
      <c r="L11" s="86"/>
      <c r="M11" s="99"/>
      <c r="N11" s="86"/>
      <c r="O11" s="178">
        <f>M11*43560</f>
        <v>0</v>
      </c>
      <c r="P11" s="177"/>
      <c r="Q11" s="177"/>
      <c r="R11" s="177"/>
      <c r="S11" s="86"/>
      <c r="T11" s="86"/>
      <c r="U11" s="86"/>
      <c r="V11" s="86"/>
      <c r="W11" s="260"/>
      <c r="X11" s="260"/>
      <c r="Y11" s="260"/>
      <c r="Z11" s="260"/>
      <c r="AA11" s="260"/>
      <c r="AB11" s="260"/>
      <c r="AC11" s="260"/>
      <c r="AD11" s="260"/>
      <c r="AE11" s="260"/>
      <c r="AF11" s="260"/>
      <c r="AG11" s="260"/>
      <c r="AH11" s="260"/>
    </row>
    <row r="12" spans="1:35" ht="16.5" x14ac:dyDescent="0.3">
      <c r="A12" s="86"/>
      <c r="B12" s="86"/>
      <c r="C12" s="86"/>
      <c r="D12" s="86"/>
      <c r="E12" s="86"/>
      <c r="F12" s="86"/>
      <c r="G12" s="86"/>
      <c r="H12" s="86"/>
      <c r="I12" s="86"/>
      <c r="J12" s="177"/>
      <c r="V12" s="86"/>
      <c r="W12" s="260"/>
      <c r="X12" s="260"/>
      <c r="Y12" s="260"/>
      <c r="Z12" s="260"/>
      <c r="AA12" s="260"/>
      <c r="AB12" s="260"/>
      <c r="AC12" s="260"/>
      <c r="AD12" s="260"/>
      <c r="AE12" s="260"/>
      <c r="AF12" s="260"/>
      <c r="AG12" s="260"/>
      <c r="AH12" s="260"/>
    </row>
    <row r="13" spans="1:35" ht="17.25" thickBot="1" x14ac:dyDescent="0.35">
      <c r="A13" s="86"/>
      <c r="B13" s="86"/>
      <c r="C13" s="86"/>
      <c r="D13" s="86"/>
      <c r="E13" s="86"/>
      <c r="F13" s="86"/>
      <c r="G13" s="86"/>
      <c r="H13" s="86"/>
      <c r="I13" s="86"/>
      <c r="J13" s="189"/>
      <c r="V13" s="86"/>
      <c r="W13" s="263" t="s">
        <v>218</v>
      </c>
      <c r="X13" s="263"/>
      <c r="Y13" s="263"/>
      <c r="Z13" s="263"/>
      <c r="AA13" s="263"/>
      <c r="AB13" s="263"/>
      <c r="AC13" s="263"/>
      <c r="AD13" s="263"/>
      <c r="AE13" s="263"/>
      <c r="AF13" s="263"/>
      <c r="AG13" s="263"/>
      <c r="AH13" s="190"/>
    </row>
    <row r="14" spans="1:35" ht="18.75" thickTop="1" thickBot="1" x14ac:dyDescent="0.35">
      <c r="A14" s="87" t="s">
        <v>37</v>
      </c>
      <c r="B14" s="87"/>
      <c r="C14" s="87"/>
      <c r="D14" s="87"/>
      <c r="E14" s="87"/>
      <c r="F14" s="87"/>
      <c r="G14" s="87"/>
      <c r="H14" s="87"/>
      <c r="I14" s="87"/>
      <c r="J14" s="87"/>
      <c r="K14" s="87"/>
      <c r="L14" s="87"/>
      <c r="M14" s="87"/>
      <c r="N14" s="87"/>
      <c r="O14" s="87"/>
      <c r="P14" s="87"/>
      <c r="Q14" s="87"/>
      <c r="R14" s="87"/>
      <c r="S14" s="87"/>
      <c r="T14" s="87"/>
      <c r="U14" s="87"/>
      <c r="V14" s="87"/>
      <c r="W14" s="263"/>
      <c r="X14" s="263"/>
      <c r="Y14" s="263"/>
      <c r="Z14" s="263"/>
      <c r="AA14" s="263"/>
      <c r="AB14" s="263"/>
      <c r="AC14" s="263"/>
      <c r="AD14" s="263"/>
      <c r="AE14" s="263"/>
      <c r="AF14" s="263"/>
      <c r="AG14" s="263"/>
      <c r="AH14" s="87"/>
      <c r="AI14" s="87"/>
    </row>
    <row r="15" spans="1:35" ht="17.25" thickTop="1" x14ac:dyDescent="0.3">
      <c r="A15" s="86"/>
      <c r="B15" s="86"/>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row>
    <row r="16" spans="1:35" s="103" customFormat="1" ht="16.899999999999999" customHeight="1" thickBot="1" x14ac:dyDescent="0.3">
      <c r="A16" s="100"/>
      <c r="B16" s="256" t="s">
        <v>196</v>
      </c>
      <c r="C16" s="256"/>
      <c r="D16" s="256"/>
      <c r="E16" s="256"/>
      <c r="F16" s="256"/>
      <c r="G16" s="256"/>
      <c r="H16" s="176"/>
      <c r="I16" s="256" t="s">
        <v>184</v>
      </c>
      <c r="J16" s="256"/>
      <c r="K16" s="256"/>
      <c r="L16" s="256"/>
      <c r="M16" s="256"/>
      <c r="N16" s="256"/>
      <c r="O16" s="256"/>
      <c r="P16" s="256"/>
      <c r="Q16" s="101"/>
      <c r="R16" s="256" t="s">
        <v>64</v>
      </c>
      <c r="S16" s="256"/>
      <c r="T16" s="256"/>
      <c r="U16" s="256"/>
      <c r="V16" s="256"/>
      <c r="W16" s="256"/>
      <c r="X16" s="100"/>
      <c r="Y16" s="262" t="s">
        <v>65</v>
      </c>
      <c r="Z16" s="262"/>
      <c r="AA16" s="262"/>
      <c r="AB16" s="262"/>
      <c r="AC16" s="262"/>
      <c r="AD16" s="262"/>
      <c r="AE16" s="262"/>
      <c r="AF16" s="262"/>
      <c r="AG16" s="262"/>
      <c r="AH16" s="84"/>
      <c r="AI16" s="102"/>
    </row>
    <row r="17" spans="1:35" ht="64.150000000000006" customHeight="1" x14ac:dyDescent="0.25">
      <c r="A17" s="176" t="s">
        <v>38</v>
      </c>
      <c r="B17" s="259" t="s">
        <v>16</v>
      </c>
      <c r="C17" s="259"/>
      <c r="D17" s="254" t="s">
        <v>165</v>
      </c>
      <c r="E17" s="254"/>
      <c r="F17" s="176" t="s">
        <v>40</v>
      </c>
      <c r="G17" s="176" t="s">
        <v>211</v>
      </c>
      <c r="H17" s="176"/>
      <c r="I17" s="176" t="s">
        <v>194</v>
      </c>
      <c r="J17" s="254" t="s">
        <v>41</v>
      </c>
      <c r="K17" s="254"/>
      <c r="L17" s="176" t="s">
        <v>44</v>
      </c>
      <c r="M17" s="176" t="s">
        <v>45</v>
      </c>
      <c r="N17" s="176" t="s">
        <v>192</v>
      </c>
      <c r="O17" s="176" t="s">
        <v>89</v>
      </c>
      <c r="P17" s="184" t="s">
        <v>195</v>
      </c>
      <c r="Q17" s="104"/>
      <c r="R17" s="105" t="s">
        <v>52</v>
      </c>
      <c r="S17" s="185" t="s">
        <v>53</v>
      </c>
      <c r="T17" s="106" t="s">
        <v>54</v>
      </c>
      <c r="U17" s="106" t="s">
        <v>55</v>
      </c>
      <c r="V17" s="106" t="s">
        <v>56</v>
      </c>
      <c r="W17" s="105" t="s">
        <v>57</v>
      </c>
      <c r="X17" s="105"/>
      <c r="Y17" s="105" t="s">
        <v>58</v>
      </c>
      <c r="Z17" s="105" t="s">
        <v>59</v>
      </c>
      <c r="AA17" s="105" t="s">
        <v>67</v>
      </c>
      <c r="AB17" s="105" t="s">
        <v>144</v>
      </c>
      <c r="AC17" s="105" t="s">
        <v>145</v>
      </c>
      <c r="AD17" s="105" t="s">
        <v>60</v>
      </c>
      <c r="AE17" s="105" t="s">
        <v>61</v>
      </c>
      <c r="AF17" s="105" t="s">
        <v>62</v>
      </c>
      <c r="AG17" s="105" t="s">
        <v>63</v>
      </c>
      <c r="AI17" s="107" t="s">
        <v>126</v>
      </c>
    </row>
    <row r="18" spans="1:35" ht="37.15" customHeight="1" x14ac:dyDescent="0.25">
      <c r="A18" s="108">
        <v>1</v>
      </c>
      <c r="B18" s="245"/>
      <c r="C18" s="246"/>
      <c r="D18" s="247"/>
      <c r="E18" s="248"/>
      <c r="F18" s="72"/>
      <c r="G18" s="109"/>
      <c r="H18" s="100"/>
      <c r="I18" s="109" t="s">
        <v>212</v>
      </c>
      <c r="J18" s="252"/>
      <c r="K18" s="253"/>
      <c r="L18" s="173"/>
      <c r="M18" s="111"/>
      <c r="N18" s="188"/>
      <c r="O18" s="173"/>
      <c r="P18" s="73">
        <f>IF(AND(I18="Storage Volume", N18&lt;=(($U$6/12)*72*(J18*43560))),N18,IF(AND(I18="EWDs",((J18*43560)*(L18/12))&lt;=(($U$6/12)*72*(J18*43560))),((J18*43560)*(L18/12)), "Will NOT drain in 72 hrs"))</f>
        <v>0</v>
      </c>
      <c r="Q18" s="100"/>
      <c r="R18" s="108" t="str">
        <f t="shared" ref="R18:R27" si="0">IF($G18="Detention","NO",IF(G18="Subsurface Detention Storage","NO",IF(G18="","NO","YES")))</f>
        <v>NO</v>
      </c>
      <c r="S18" s="113" t="str">
        <f t="shared" ref="S18:S27" si="1">IF(G18="Permeable Pavement",((P18)/(D18*43560))*12, IF(G18 = "Bioretention",((P18)/(D18*43560))*12,  "N/A"))</f>
        <v>N/A</v>
      </c>
      <c r="T18" s="74" t="str">
        <f>IF(G18="Bioretention","N/A",IF(G18="Downspout Disconnection",J18/D18,IF(G18="Impervious Disconnection",J18/D18,IF(G18="Permeable Pavement","N/A","N/A"))))</f>
        <v>N/A</v>
      </c>
      <c r="U18" s="75" t="str">
        <f t="shared" ref="U18:U27" si="2">IF(P18="Will NOT drain in 72 hrs","Will NOT drain in 72 hrs",IF(G18="Bioretention",(1-2.5^(-2.536*S18)),IF(G18="Downspout Disconnection",(0.94*(T18/(T18+0.25))),IF(G18="Impervious Disconnection",(0.94*(T18/(0.25+T18))),IF(G18="Permeable Pavement",(1-2.5^(-2.536*S18)),"N/A")))))</f>
        <v>N/A</v>
      </c>
      <c r="V18" s="76" t="str">
        <f>IF(U18="Will NOT drain in 72 hrs","N/A",IF(AND(R18="YES",U18&gt;100),40,IF(R18="YES",U18*0.4,"N/A")))</f>
        <v>N/A</v>
      </c>
      <c r="W18" s="77" t="str">
        <f>IF(V18="N/A","N/A",((V18*($D18/($E$11-$G$11)))))</f>
        <v>N/A</v>
      </c>
      <c r="X18" s="114"/>
      <c r="Y18" s="108" t="str">
        <f t="shared" ref="Y18:Y27" si="3">IF(AND($G18="Detention",NOT(OR(O18="N/A",O18=""))),"YES",IF(AND($G18="Subsurface Detention Storage",NOT(OR(O18="N/A",O18=""))),"YES",IF(AND($G18="Bioretention",NOT(OR(G18="N/A",G18=""))),"YES",IF(AND($G18="Permeable Pavement",NOT(OR(G18="N/A",G18=""))),"YES","NO"))))</f>
        <v>NO</v>
      </c>
      <c r="Z18" s="115">
        <f t="shared" ref="Z18:Z25" si="4">0.15*E18</f>
        <v>0</v>
      </c>
      <c r="AA18" s="116" t="str">
        <f>IF(AND(Y18="YES", G18 = "Detention"),((((Z18/(0.61*SQRT(32.2*((O18/(J18*43560))/12))))/PI())^0.5)*2)*12,IF(AND(Y18="YES", G18 = "Subsurface Detention Storage"),((((Z18/(0.61*SQRT(32.2*((O18/(J18*43560))/12))))/PI())^0.5)*2)*12,IF((Y18="YES"),((((Z18/(0.61*SQRT(32.2*(M18/12))))/PI())^0.5)*2)*12, "N/A")))</f>
        <v>N/A</v>
      </c>
      <c r="AB18" s="78" t="str">
        <f t="shared" ref="AB18:AB27" si="5">IF(Y18="NO","N/A",4220*D18)</f>
        <v>N/A</v>
      </c>
      <c r="AC18" s="79" t="str">
        <f t="shared" ref="AC18:AC27" si="6">IF(Y18="NO","N/A",11750*D18)</f>
        <v>N/A</v>
      </c>
      <c r="AD18" s="79" t="str">
        <f>IF(AND(G18="Detention",Y18="YES"),O18,IF(AND(G18="Subsurface Detention Storage",Y18="YES"),O18,IF(AND((Y18="YES"),I18="EWDs"),(M18/12)*(J18*43560),IF(AND((Y18="YES"),I18="Storage Volume"),(O18),"N/A"))))</f>
        <v>N/A</v>
      </c>
      <c r="AE18" s="80" t="str">
        <f>IF(AND(Y18="YES",AD18&gt;AB18),MIN(((AD18)/AC18),1),IF(AND(Y18="YES",AD18&lt;AB18),"Does NOT Provide Enough Storage for a 2-yr Storm","N/A"))</f>
        <v>N/A</v>
      </c>
      <c r="AF18" s="81" t="str">
        <f>IF(AE18="Does NOT Provide Enough Storage for a 2-yr Storm","N/A",IF(AND(AE18&lt;&gt;"N/A",AE18&gt;=100),40,IF(AE18&lt;&gt;"N/A",AE18*0.4,"N/A")))</f>
        <v>N/A</v>
      </c>
      <c r="AG18" s="117" t="str">
        <f>IF(AF18="N/A","N/A",(AF18*($D18/($E$11-$G$11))))</f>
        <v>N/A</v>
      </c>
      <c r="AI18" s="132">
        <f>SUM(AG18,W18)</f>
        <v>0</v>
      </c>
    </row>
    <row r="19" spans="1:35" ht="36" customHeight="1" x14ac:dyDescent="0.25">
      <c r="A19" s="108">
        <v>2</v>
      </c>
      <c r="B19" s="245"/>
      <c r="C19" s="246"/>
      <c r="D19" s="247"/>
      <c r="E19" s="248"/>
      <c r="F19" s="72"/>
      <c r="G19" s="109"/>
      <c r="H19" s="100"/>
      <c r="I19" s="109" t="s">
        <v>213</v>
      </c>
      <c r="J19" s="252"/>
      <c r="K19" s="253"/>
      <c r="L19" s="188"/>
      <c r="M19" s="187"/>
      <c r="N19" s="188"/>
      <c r="O19" s="188"/>
      <c r="P19" s="73">
        <f t="shared" ref="P19:P27" si="7">IF(AND(I19="Storage Volume", N19&lt;=(($U$6/12)*72*(J19*43560))),N19,IF(AND(I19="EWDs",((J19*43560)*(L19/12))&lt;=(($U$6/12)*72*(J19*43560))),((J19*43560)*(L19/12)), "Will NOT drain in 72 hrs"))</f>
        <v>0</v>
      </c>
      <c r="Q19" s="176"/>
      <c r="R19" s="108" t="str">
        <f t="shared" si="0"/>
        <v>NO</v>
      </c>
      <c r="S19" s="113" t="str">
        <f t="shared" si="1"/>
        <v>N/A</v>
      </c>
      <c r="T19" s="74" t="str">
        <f>IF(G19="Bioretention","N/A",IF(G19="Downspout Disconnection",J19/D19,IF(G19="Impervious Disconnection",J19/D19,IF(G19="Permeable Pavement","N/A",IF(G19="Bioretention","Does NOT use the Practice Ratio Method","N/A")))))</f>
        <v>N/A</v>
      </c>
      <c r="U19" s="75" t="str">
        <f t="shared" si="2"/>
        <v>N/A</v>
      </c>
      <c r="V19" s="76" t="str">
        <f t="shared" ref="V19:V27" si="8">IF(U19="Will NOT drain in 72 hrs","N/A",IF(AND(R19="YES",U19&gt;100),40,IF(R19="YES",U19*0.4,"N/A")))</f>
        <v>N/A</v>
      </c>
      <c r="W19" s="77" t="str">
        <f t="shared" ref="W19:W27" si="9">IF(V19="N/A","N/A",((V19*($D19/($E$11-$G$11)))))</f>
        <v>N/A</v>
      </c>
      <c r="X19" s="114"/>
      <c r="Y19" s="108" t="str">
        <f t="shared" si="3"/>
        <v>NO</v>
      </c>
      <c r="Z19" s="115">
        <f t="shared" si="4"/>
        <v>0</v>
      </c>
      <c r="AA19" s="116" t="str">
        <f>IF(AND(Y19="YES", G19 = "Detention"),((((Z19/(0.61*SQRT(32.2*((O19/(J19*43560))/12))))/PI())^0.5)*2)*12,IF(AND(Y19="YES", G19 = "Subsurface Detention Storage"),((((Z19/(0.61*SQRT(32.2*((O19/(J19*43560))/12))))/PI())^0.5)*2)*12,IF((Y19="YES"),((((Z19/(0.61*SQRT(32.2*(M19/12))))/PI())^0.5)*2)*12, "N/A")))</f>
        <v>N/A</v>
      </c>
      <c r="AB19" s="78" t="str">
        <f t="shared" si="5"/>
        <v>N/A</v>
      </c>
      <c r="AC19" s="79" t="str">
        <f t="shared" si="6"/>
        <v>N/A</v>
      </c>
      <c r="AD19" s="79" t="str">
        <f t="shared" ref="AD19:AD27" si="10">IF(AND(G19="Detention",Y19="YES"),O19,IF(AND(G19="Subsurface Detention Storage",Y19="YES"),O19,IF(AND((Y19="YES"),I19="EWDs"),(M19/12)*(J19*43560),IF(AND((Y19="YES"),I19="Storage Volume"),(O19),"N/A"))))</f>
        <v>N/A</v>
      </c>
      <c r="AE19" s="80" t="str">
        <f t="shared" ref="AE19:AE27" si="11">IF(AND(Y19="YES",AD19&gt;AB19),MIN(((AD19)/AC19),1),IF(AND(Y19="YES",AD19&lt;AB19),"Does NOT Provide Enough Storage for a 2-yr Storm","N/A"))</f>
        <v>N/A</v>
      </c>
      <c r="AF19" s="81" t="str">
        <f t="shared" ref="AF19:AF27" si="12">IF(AE19="Does NOT Provide Enough Storage for a 2-yr Storm","N/A",IF(AND(AE19&lt;&gt;"N/A",AE19&gt;=100),40,IF(AE19&lt;&gt;"N/A",AE19*0.4,"N/A")))</f>
        <v>N/A</v>
      </c>
      <c r="AG19" s="117" t="str">
        <f t="shared" ref="AG19:AG27" si="13">IF(AF19="N/A","N/A",(AF19*($D19/($E$11-$G$11))))</f>
        <v>N/A</v>
      </c>
      <c r="AI19" s="132">
        <f t="shared" ref="AI19:AI27" si="14">SUM(AG19,W19)</f>
        <v>0</v>
      </c>
    </row>
    <row r="20" spans="1:35" ht="36.6" customHeight="1" x14ac:dyDescent="0.25">
      <c r="A20" s="108">
        <v>3</v>
      </c>
      <c r="B20" s="245"/>
      <c r="C20" s="246"/>
      <c r="D20" s="247"/>
      <c r="E20" s="248"/>
      <c r="F20" s="72"/>
      <c r="G20" s="109"/>
      <c r="H20" s="100"/>
      <c r="I20" s="109" t="s">
        <v>212</v>
      </c>
      <c r="J20" s="252"/>
      <c r="K20" s="253"/>
      <c r="L20" s="188"/>
      <c r="M20" s="187"/>
      <c r="N20" s="188"/>
      <c r="O20" s="188"/>
      <c r="P20" s="73">
        <f t="shared" si="7"/>
        <v>0</v>
      </c>
      <c r="Q20" s="100"/>
      <c r="R20" s="108" t="str">
        <f t="shared" si="0"/>
        <v>NO</v>
      </c>
      <c r="S20" s="113" t="str">
        <f t="shared" si="1"/>
        <v>N/A</v>
      </c>
      <c r="T20" s="74" t="str">
        <f>IF(G20="Bioretention","N/A",IF(G20="Downspout Disconnection",J20/D20,IF(G20="Impervious Disconnection",J20/D20,IF(G20="Permeable Pavement","N/A",IF(G20="Bioretention","Does NOT use the Practice Ratio Method","N/A")))))</f>
        <v>N/A</v>
      </c>
      <c r="U20" s="75" t="str">
        <f t="shared" si="2"/>
        <v>N/A</v>
      </c>
      <c r="V20" s="76" t="str">
        <f t="shared" si="8"/>
        <v>N/A</v>
      </c>
      <c r="W20" s="77" t="str">
        <f t="shared" si="9"/>
        <v>N/A</v>
      </c>
      <c r="X20" s="114"/>
      <c r="Y20" s="108" t="str">
        <f t="shared" si="3"/>
        <v>NO</v>
      </c>
      <c r="Z20" s="115">
        <f t="shared" si="4"/>
        <v>0</v>
      </c>
      <c r="AA20" s="116" t="str">
        <f>IF(AND(Y20="YES", G20 = "Detention"),((((Z20/(0.61*SQRT(32.2*((O20/(J20*43560))/12))))/PI())^0.5)*2)*12,IF(AND(Y20="YES", G20 = "Subsurface Detention Storage"),((((Z20/(0.61*SQRT(32.2*((O20/(J20*43560))/12))))/PI())^0.5)*2)*12,IF((Y20="YES"),((((Z20/(0.61*SQRT(32.2*(M20/12))))/PI())^0.5)*2)*12, "N/A")))</f>
        <v>N/A</v>
      </c>
      <c r="AB20" s="78" t="str">
        <f t="shared" si="5"/>
        <v>N/A</v>
      </c>
      <c r="AC20" s="79" t="str">
        <f t="shared" si="6"/>
        <v>N/A</v>
      </c>
      <c r="AD20" s="79" t="str">
        <f t="shared" si="10"/>
        <v>N/A</v>
      </c>
      <c r="AE20" s="80" t="str">
        <f t="shared" si="11"/>
        <v>N/A</v>
      </c>
      <c r="AF20" s="81" t="str">
        <f t="shared" si="12"/>
        <v>N/A</v>
      </c>
      <c r="AG20" s="117" t="str">
        <f t="shared" si="13"/>
        <v>N/A</v>
      </c>
      <c r="AI20" s="132">
        <f t="shared" si="14"/>
        <v>0</v>
      </c>
    </row>
    <row r="21" spans="1:35" ht="36" customHeight="1" x14ac:dyDescent="0.25">
      <c r="A21" s="108">
        <v>4</v>
      </c>
      <c r="B21" s="245"/>
      <c r="C21" s="246"/>
      <c r="D21" s="247"/>
      <c r="E21" s="248"/>
      <c r="F21" s="72"/>
      <c r="G21" s="109"/>
      <c r="H21" s="100"/>
      <c r="I21" s="109" t="s">
        <v>213</v>
      </c>
      <c r="J21" s="252"/>
      <c r="K21" s="253"/>
      <c r="L21" s="188"/>
      <c r="M21" s="187"/>
      <c r="N21" s="188"/>
      <c r="O21" s="188"/>
      <c r="P21" s="73">
        <f t="shared" si="7"/>
        <v>0</v>
      </c>
      <c r="Q21" s="100"/>
      <c r="R21" s="108" t="str">
        <f t="shared" si="0"/>
        <v>NO</v>
      </c>
      <c r="S21" s="113" t="str">
        <f t="shared" si="1"/>
        <v>N/A</v>
      </c>
      <c r="T21" s="74" t="str">
        <f t="shared" ref="T21:T27" si="15">IF(G21="Bioretention","N/A",IF(G21="Downspout Disconnection",J21/D21,IF(G21="Impervious Disconnection",J21/D21,IF(G21="Permeable Pavement","N/A",IF(G21="Bioretention","Does NOT use the Practice Ratio Method","N/A")))))</f>
        <v>N/A</v>
      </c>
      <c r="U21" s="75" t="str">
        <f t="shared" si="2"/>
        <v>N/A</v>
      </c>
      <c r="V21" s="76" t="str">
        <f t="shared" si="8"/>
        <v>N/A</v>
      </c>
      <c r="W21" s="77" t="str">
        <f t="shared" si="9"/>
        <v>N/A</v>
      </c>
      <c r="X21" s="114"/>
      <c r="Y21" s="108" t="str">
        <f t="shared" si="3"/>
        <v>NO</v>
      </c>
      <c r="Z21" s="115">
        <f t="shared" si="4"/>
        <v>0</v>
      </c>
      <c r="AA21" s="116" t="str">
        <f t="shared" ref="AA21:AA27" si="16">IF(AND(Y21="YES", G21 = "Detention"),((((Z21/(0.61*SQRT(32.2*((O21/(K21*43560))/12))))/PI())^0.5)*2)*12,IF(AND(Y21="YES", G21 = "Subsurface Detention Storage"),((((Z21/(0.61*SQRT(32.2*((O21/(K21*43560))/12))))/PI())^0.5)*2)*12,IF((Y21="YES"),((((Z21/(0.61*SQRT(32.2*(M21/12))))/PI())^0.5)*2)*12, "N/A")))</f>
        <v>N/A</v>
      </c>
      <c r="AB21" s="78" t="str">
        <f t="shared" si="5"/>
        <v>N/A</v>
      </c>
      <c r="AC21" s="79" t="str">
        <f t="shared" si="6"/>
        <v>N/A</v>
      </c>
      <c r="AD21" s="79" t="str">
        <f t="shared" si="10"/>
        <v>N/A</v>
      </c>
      <c r="AE21" s="80" t="str">
        <f t="shared" si="11"/>
        <v>N/A</v>
      </c>
      <c r="AF21" s="81" t="str">
        <f t="shared" si="12"/>
        <v>N/A</v>
      </c>
      <c r="AG21" s="117" t="str">
        <f t="shared" si="13"/>
        <v>N/A</v>
      </c>
      <c r="AI21" s="132">
        <f t="shared" si="14"/>
        <v>0</v>
      </c>
    </row>
    <row r="22" spans="1:35" ht="36" customHeight="1" x14ac:dyDescent="0.25">
      <c r="A22" s="108">
        <v>5</v>
      </c>
      <c r="B22" s="245"/>
      <c r="C22" s="246"/>
      <c r="D22" s="247"/>
      <c r="E22" s="248"/>
      <c r="F22" s="72"/>
      <c r="G22" s="109"/>
      <c r="H22" s="100"/>
      <c r="I22" s="109" t="s">
        <v>212</v>
      </c>
      <c r="J22" s="252"/>
      <c r="K22" s="253"/>
      <c r="L22" s="188"/>
      <c r="M22" s="187"/>
      <c r="N22" s="188"/>
      <c r="O22" s="188"/>
      <c r="P22" s="73">
        <f t="shared" si="7"/>
        <v>0</v>
      </c>
      <c r="Q22" s="100"/>
      <c r="R22" s="108" t="str">
        <f t="shared" si="0"/>
        <v>NO</v>
      </c>
      <c r="S22" s="113" t="str">
        <f t="shared" si="1"/>
        <v>N/A</v>
      </c>
      <c r="T22" s="74" t="str">
        <f t="shared" si="15"/>
        <v>N/A</v>
      </c>
      <c r="U22" s="75" t="str">
        <f t="shared" si="2"/>
        <v>N/A</v>
      </c>
      <c r="V22" s="76" t="str">
        <f t="shared" si="8"/>
        <v>N/A</v>
      </c>
      <c r="W22" s="77" t="str">
        <f t="shared" si="9"/>
        <v>N/A</v>
      </c>
      <c r="X22" s="114"/>
      <c r="Y22" s="108" t="str">
        <f t="shared" si="3"/>
        <v>NO</v>
      </c>
      <c r="Z22" s="115">
        <f t="shared" si="4"/>
        <v>0</v>
      </c>
      <c r="AA22" s="116" t="str">
        <f t="shared" si="16"/>
        <v>N/A</v>
      </c>
      <c r="AB22" s="78" t="str">
        <f t="shared" si="5"/>
        <v>N/A</v>
      </c>
      <c r="AC22" s="79" t="str">
        <f t="shared" si="6"/>
        <v>N/A</v>
      </c>
      <c r="AD22" s="79" t="str">
        <f t="shared" si="10"/>
        <v>N/A</v>
      </c>
      <c r="AE22" s="80" t="str">
        <f t="shared" si="11"/>
        <v>N/A</v>
      </c>
      <c r="AF22" s="81" t="str">
        <f t="shared" si="12"/>
        <v>N/A</v>
      </c>
      <c r="AG22" s="117" t="str">
        <f t="shared" si="13"/>
        <v>N/A</v>
      </c>
      <c r="AI22" s="132">
        <f t="shared" si="14"/>
        <v>0</v>
      </c>
    </row>
    <row r="23" spans="1:35" ht="36" customHeight="1" x14ac:dyDescent="0.25">
      <c r="A23" s="108">
        <v>6</v>
      </c>
      <c r="B23" s="245"/>
      <c r="C23" s="246"/>
      <c r="D23" s="247"/>
      <c r="E23" s="248"/>
      <c r="F23" s="72"/>
      <c r="G23" s="109"/>
      <c r="H23" s="100"/>
      <c r="I23" s="109" t="s">
        <v>213</v>
      </c>
      <c r="J23" s="252"/>
      <c r="K23" s="253"/>
      <c r="L23" s="188"/>
      <c r="M23" s="187"/>
      <c r="N23" s="188"/>
      <c r="O23" s="188"/>
      <c r="P23" s="73">
        <f t="shared" si="7"/>
        <v>0</v>
      </c>
      <c r="Q23" s="100"/>
      <c r="R23" s="108" t="str">
        <f t="shared" si="0"/>
        <v>NO</v>
      </c>
      <c r="S23" s="113" t="str">
        <f t="shared" si="1"/>
        <v>N/A</v>
      </c>
      <c r="T23" s="74" t="str">
        <f t="shared" si="15"/>
        <v>N/A</v>
      </c>
      <c r="U23" s="75" t="str">
        <f t="shared" si="2"/>
        <v>N/A</v>
      </c>
      <c r="V23" s="76" t="str">
        <f t="shared" si="8"/>
        <v>N/A</v>
      </c>
      <c r="W23" s="77" t="str">
        <f t="shared" si="9"/>
        <v>N/A</v>
      </c>
      <c r="X23" s="114"/>
      <c r="Y23" s="108" t="str">
        <f t="shared" si="3"/>
        <v>NO</v>
      </c>
      <c r="Z23" s="115">
        <f t="shared" si="4"/>
        <v>0</v>
      </c>
      <c r="AA23" s="116" t="str">
        <f t="shared" si="16"/>
        <v>N/A</v>
      </c>
      <c r="AB23" s="78" t="str">
        <f t="shared" si="5"/>
        <v>N/A</v>
      </c>
      <c r="AC23" s="79" t="str">
        <f t="shared" si="6"/>
        <v>N/A</v>
      </c>
      <c r="AD23" s="79" t="str">
        <f t="shared" si="10"/>
        <v>N/A</v>
      </c>
      <c r="AE23" s="80" t="str">
        <f t="shared" si="11"/>
        <v>N/A</v>
      </c>
      <c r="AF23" s="81" t="str">
        <f t="shared" si="12"/>
        <v>N/A</v>
      </c>
      <c r="AG23" s="117" t="str">
        <f t="shared" si="13"/>
        <v>N/A</v>
      </c>
      <c r="AI23" s="132">
        <f t="shared" si="14"/>
        <v>0</v>
      </c>
    </row>
    <row r="24" spans="1:35" ht="36" customHeight="1" x14ac:dyDescent="0.25">
      <c r="A24" s="108">
        <v>7</v>
      </c>
      <c r="B24" s="245"/>
      <c r="C24" s="246"/>
      <c r="D24" s="247"/>
      <c r="E24" s="248"/>
      <c r="F24" s="72"/>
      <c r="G24" s="109"/>
      <c r="H24" s="100"/>
      <c r="I24" s="109" t="s">
        <v>212</v>
      </c>
      <c r="J24" s="252"/>
      <c r="K24" s="253"/>
      <c r="L24" s="188"/>
      <c r="M24" s="187"/>
      <c r="N24" s="188"/>
      <c r="O24" s="188"/>
      <c r="P24" s="73">
        <f t="shared" si="7"/>
        <v>0</v>
      </c>
      <c r="Q24" s="100"/>
      <c r="R24" s="108" t="str">
        <f t="shared" si="0"/>
        <v>NO</v>
      </c>
      <c r="S24" s="113" t="str">
        <f t="shared" si="1"/>
        <v>N/A</v>
      </c>
      <c r="T24" s="74" t="str">
        <f t="shared" si="15"/>
        <v>N/A</v>
      </c>
      <c r="U24" s="75" t="str">
        <f t="shared" si="2"/>
        <v>N/A</v>
      </c>
      <c r="V24" s="76" t="str">
        <f t="shared" si="8"/>
        <v>N/A</v>
      </c>
      <c r="W24" s="77" t="str">
        <f t="shared" si="9"/>
        <v>N/A</v>
      </c>
      <c r="X24" s="114"/>
      <c r="Y24" s="108" t="str">
        <f t="shared" si="3"/>
        <v>NO</v>
      </c>
      <c r="Z24" s="115">
        <f t="shared" si="4"/>
        <v>0</v>
      </c>
      <c r="AA24" s="116" t="str">
        <f t="shared" si="16"/>
        <v>N/A</v>
      </c>
      <c r="AB24" s="78" t="str">
        <f t="shared" si="5"/>
        <v>N/A</v>
      </c>
      <c r="AC24" s="79" t="str">
        <f t="shared" si="6"/>
        <v>N/A</v>
      </c>
      <c r="AD24" s="79" t="str">
        <f t="shared" si="10"/>
        <v>N/A</v>
      </c>
      <c r="AE24" s="80" t="str">
        <f t="shared" si="11"/>
        <v>N/A</v>
      </c>
      <c r="AF24" s="81" t="str">
        <f t="shared" si="12"/>
        <v>N/A</v>
      </c>
      <c r="AG24" s="117" t="str">
        <f t="shared" si="13"/>
        <v>N/A</v>
      </c>
      <c r="AI24" s="132">
        <f t="shared" si="14"/>
        <v>0</v>
      </c>
    </row>
    <row r="25" spans="1:35" ht="36" customHeight="1" x14ac:dyDescent="0.25">
      <c r="A25" s="108">
        <v>8</v>
      </c>
      <c r="B25" s="245"/>
      <c r="C25" s="246"/>
      <c r="D25" s="247"/>
      <c r="E25" s="248"/>
      <c r="F25" s="72"/>
      <c r="G25" s="109"/>
      <c r="H25" s="100"/>
      <c r="I25" s="109" t="s">
        <v>213</v>
      </c>
      <c r="J25" s="252"/>
      <c r="K25" s="253"/>
      <c r="L25" s="188"/>
      <c r="M25" s="187"/>
      <c r="N25" s="188"/>
      <c r="O25" s="188"/>
      <c r="P25" s="73">
        <f t="shared" si="7"/>
        <v>0</v>
      </c>
      <c r="Q25" s="100"/>
      <c r="R25" s="108" t="str">
        <f t="shared" si="0"/>
        <v>NO</v>
      </c>
      <c r="S25" s="113" t="str">
        <f t="shared" si="1"/>
        <v>N/A</v>
      </c>
      <c r="T25" s="74" t="str">
        <f t="shared" si="15"/>
        <v>N/A</v>
      </c>
      <c r="U25" s="75" t="str">
        <f t="shared" si="2"/>
        <v>N/A</v>
      </c>
      <c r="V25" s="76" t="str">
        <f t="shared" si="8"/>
        <v>N/A</v>
      </c>
      <c r="W25" s="77" t="str">
        <f t="shared" si="9"/>
        <v>N/A</v>
      </c>
      <c r="X25" s="114"/>
      <c r="Y25" s="108" t="str">
        <f t="shared" si="3"/>
        <v>NO</v>
      </c>
      <c r="Z25" s="115">
        <f t="shared" si="4"/>
        <v>0</v>
      </c>
      <c r="AA25" s="116" t="str">
        <f t="shared" si="16"/>
        <v>N/A</v>
      </c>
      <c r="AB25" s="78" t="str">
        <f t="shared" si="5"/>
        <v>N/A</v>
      </c>
      <c r="AC25" s="79" t="str">
        <f t="shared" si="6"/>
        <v>N/A</v>
      </c>
      <c r="AD25" s="79" t="str">
        <f t="shared" si="10"/>
        <v>N/A</v>
      </c>
      <c r="AE25" s="80" t="str">
        <f t="shared" si="11"/>
        <v>N/A</v>
      </c>
      <c r="AF25" s="81" t="str">
        <f t="shared" si="12"/>
        <v>N/A</v>
      </c>
      <c r="AG25" s="117" t="str">
        <f t="shared" si="13"/>
        <v>N/A</v>
      </c>
      <c r="AI25" s="132">
        <f t="shared" si="14"/>
        <v>0</v>
      </c>
    </row>
    <row r="26" spans="1:35" ht="36.6" customHeight="1" x14ac:dyDescent="0.25">
      <c r="A26" s="108">
        <v>9</v>
      </c>
      <c r="B26" s="245"/>
      <c r="C26" s="246"/>
      <c r="D26" s="247"/>
      <c r="E26" s="248"/>
      <c r="F26" s="72"/>
      <c r="G26" s="109"/>
      <c r="H26" s="100"/>
      <c r="I26" s="109" t="s">
        <v>212</v>
      </c>
      <c r="J26" s="252"/>
      <c r="K26" s="253"/>
      <c r="L26" s="188"/>
      <c r="M26" s="187"/>
      <c r="N26" s="188"/>
      <c r="O26" s="188"/>
      <c r="P26" s="73">
        <f t="shared" si="7"/>
        <v>0</v>
      </c>
      <c r="Q26" s="100"/>
      <c r="R26" s="108" t="str">
        <f t="shared" si="0"/>
        <v>NO</v>
      </c>
      <c r="S26" s="113" t="str">
        <f t="shared" si="1"/>
        <v>N/A</v>
      </c>
      <c r="T26" s="74" t="str">
        <f t="shared" si="15"/>
        <v>N/A</v>
      </c>
      <c r="U26" s="75" t="str">
        <f t="shared" si="2"/>
        <v>N/A</v>
      </c>
      <c r="V26" s="76" t="str">
        <f t="shared" si="8"/>
        <v>N/A</v>
      </c>
      <c r="W26" s="77" t="str">
        <f t="shared" si="9"/>
        <v>N/A</v>
      </c>
      <c r="X26" s="114"/>
      <c r="Y26" s="108" t="str">
        <f t="shared" si="3"/>
        <v>NO</v>
      </c>
      <c r="Z26" s="118"/>
      <c r="AA26" s="116" t="str">
        <f t="shared" si="16"/>
        <v>N/A</v>
      </c>
      <c r="AB26" s="78" t="str">
        <f t="shared" si="5"/>
        <v>N/A</v>
      </c>
      <c r="AC26" s="79" t="str">
        <f t="shared" si="6"/>
        <v>N/A</v>
      </c>
      <c r="AD26" s="79" t="str">
        <f t="shared" si="10"/>
        <v>N/A</v>
      </c>
      <c r="AE26" s="80" t="str">
        <f t="shared" si="11"/>
        <v>N/A</v>
      </c>
      <c r="AF26" s="81" t="str">
        <f t="shared" si="12"/>
        <v>N/A</v>
      </c>
      <c r="AG26" s="117" t="str">
        <f t="shared" si="13"/>
        <v>N/A</v>
      </c>
      <c r="AI26" s="132">
        <f t="shared" si="14"/>
        <v>0</v>
      </c>
    </row>
    <row r="27" spans="1:35" ht="36.6" customHeight="1" x14ac:dyDescent="0.25">
      <c r="A27" s="108">
        <v>10</v>
      </c>
      <c r="B27" s="245"/>
      <c r="C27" s="246"/>
      <c r="D27" s="247"/>
      <c r="E27" s="248"/>
      <c r="F27" s="72"/>
      <c r="G27" s="109"/>
      <c r="H27" s="100"/>
      <c r="I27" s="109" t="s">
        <v>213</v>
      </c>
      <c r="J27" s="252"/>
      <c r="K27" s="253"/>
      <c r="L27" s="188"/>
      <c r="M27" s="187"/>
      <c r="N27" s="188"/>
      <c r="O27" s="188"/>
      <c r="P27" s="73">
        <f t="shared" si="7"/>
        <v>0</v>
      </c>
      <c r="Q27" s="100"/>
      <c r="R27" s="108" t="str">
        <f t="shared" si="0"/>
        <v>NO</v>
      </c>
      <c r="S27" s="113" t="str">
        <f t="shared" si="1"/>
        <v>N/A</v>
      </c>
      <c r="T27" s="74" t="str">
        <f t="shared" si="15"/>
        <v>N/A</v>
      </c>
      <c r="U27" s="75" t="str">
        <f t="shared" si="2"/>
        <v>N/A</v>
      </c>
      <c r="V27" s="76" t="str">
        <f t="shared" si="8"/>
        <v>N/A</v>
      </c>
      <c r="W27" s="77" t="str">
        <f t="shared" si="9"/>
        <v>N/A</v>
      </c>
      <c r="X27" s="114"/>
      <c r="Y27" s="108" t="str">
        <f t="shared" si="3"/>
        <v>NO</v>
      </c>
      <c r="Z27" s="118"/>
      <c r="AA27" s="116" t="str">
        <f t="shared" si="16"/>
        <v>N/A</v>
      </c>
      <c r="AB27" s="78" t="str">
        <f t="shared" si="5"/>
        <v>N/A</v>
      </c>
      <c r="AC27" s="79" t="str">
        <f t="shared" si="6"/>
        <v>N/A</v>
      </c>
      <c r="AD27" s="79" t="str">
        <f t="shared" si="10"/>
        <v>N/A</v>
      </c>
      <c r="AE27" s="80" t="str">
        <f t="shared" si="11"/>
        <v>N/A</v>
      </c>
      <c r="AF27" s="81" t="str">
        <f t="shared" si="12"/>
        <v>N/A</v>
      </c>
      <c r="AG27" s="117" t="str">
        <f t="shared" si="13"/>
        <v>N/A</v>
      </c>
      <c r="AI27" s="132">
        <f t="shared" si="14"/>
        <v>0</v>
      </c>
    </row>
    <row r="28" spans="1:35" ht="8.4499999999999993" customHeight="1" x14ac:dyDescent="0.25">
      <c r="P28" s="186"/>
    </row>
    <row r="29" spans="1:35" ht="17.25" thickBot="1" x14ac:dyDescent="0.35">
      <c r="A29" s="144" t="s">
        <v>69</v>
      </c>
      <c r="B29" s="151"/>
      <c r="C29" s="119"/>
      <c r="D29" s="119"/>
      <c r="E29" s="119"/>
      <c r="F29" s="119"/>
      <c r="G29" s="119"/>
      <c r="H29" s="119"/>
      <c r="I29" s="120"/>
      <c r="J29" s="120"/>
      <c r="K29" s="120"/>
      <c r="L29" s="120"/>
      <c r="M29" s="120"/>
      <c r="N29" s="120"/>
      <c r="O29" s="121"/>
      <c r="P29" s="121"/>
      <c r="Q29" s="121"/>
      <c r="R29" s="121"/>
      <c r="S29" s="121"/>
      <c r="T29" s="121"/>
      <c r="U29" s="121"/>
      <c r="V29" s="121"/>
      <c r="W29" s="121"/>
      <c r="X29" s="121"/>
      <c r="Y29" s="121"/>
      <c r="Z29" s="122"/>
      <c r="AA29" s="122"/>
      <c r="AB29" s="122"/>
      <c r="AC29" s="122"/>
      <c r="AD29" s="122"/>
      <c r="AE29" s="122"/>
      <c r="AF29" s="122"/>
      <c r="AG29" s="122"/>
      <c r="AH29" s="123" t="s">
        <v>127</v>
      </c>
      <c r="AI29" s="133">
        <f>MIN(SUM(AI18:AI27),0.8)</f>
        <v>0</v>
      </c>
    </row>
    <row r="30" spans="1:35" ht="39.6" customHeight="1" thickTop="1" thickBot="1" x14ac:dyDescent="0.35">
      <c r="A30" s="86"/>
      <c r="D30" s="86"/>
      <c r="Q30" s="249" t="s">
        <v>84</v>
      </c>
      <c r="R30" s="249"/>
      <c r="S30" s="249"/>
      <c r="T30" s="249"/>
      <c r="U30" s="250" t="s">
        <v>85</v>
      </c>
      <c r="V30" s="251"/>
      <c r="W30" s="249" t="s">
        <v>86</v>
      </c>
      <c r="X30" s="249"/>
      <c r="Y30" s="249"/>
      <c r="Z30" s="134"/>
      <c r="AA30" s="135"/>
      <c r="AB30" s="249" t="s">
        <v>87</v>
      </c>
      <c r="AC30" s="249"/>
      <c r="AD30" s="249" t="s">
        <v>88</v>
      </c>
      <c r="AE30" s="249"/>
      <c r="AF30" s="249" t="s">
        <v>91</v>
      </c>
      <c r="AG30" s="249"/>
    </row>
    <row r="31" spans="1:35" ht="15" customHeight="1" x14ac:dyDescent="0.3">
      <c r="A31" s="137"/>
      <c r="B31" s="138"/>
      <c r="C31" s="139" t="s">
        <v>68</v>
      </c>
      <c r="D31" s="140">
        <f>SUM(D18:E27)</f>
        <v>0</v>
      </c>
      <c r="E31" s="138"/>
      <c r="F31" s="138"/>
      <c r="G31" s="141" t="s">
        <v>117</v>
      </c>
      <c r="H31" s="237">
        <f>MIN(SUM(W18:W27),0.4)</f>
        <v>0</v>
      </c>
      <c r="I31" s="237"/>
      <c r="L31" s="239" t="s">
        <v>128</v>
      </c>
      <c r="M31" s="241">
        <f>MIN(ROUNDUP(SUM(AI29),2),0.8)</f>
        <v>0</v>
      </c>
      <c r="Q31" s="238">
        <f>MIN(SUMIF(G18:G27,"Bioretention",AI18:AI27),0.8)</f>
        <v>0</v>
      </c>
      <c r="R31" s="238"/>
      <c r="S31" s="238"/>
      <c r="T31" s="238"/>
      <c r="U31" s="243">
        <f>MIN(SUMIF($G$18:$G$27,"Permeable Pavement",$AI$18:$AI$27),0.8)</f>
        <v>0</v>
      </c>
      <c r="V31" s="244"/>
      <c r="W31" s="238">
        <f>MIN(SUMIF($G$18:$G$27,"Detention",$AI$18:$AI$27),0.4)</f>
        <v>0</v>
      </c>
      <c r="X31" s="238"/>
      <c r="Y31" s="238"/>
      <c r="Z31" s="136"/>
      <c r="AA31" s="136"/>
      <c r="AB31" s="238">
        <f>MIN(SUMIF($G$18:$G$27,"Subsurface Detention Storage",$AI$18:$AI$27),0.4)</f>
        <v>0</v>
      </c>
      <c r="AC31" s="238"/>
      <c r="AD31" s="238">
        <f>MIN(SUMIF($G$18:$G$27,"Downspout Disconnection",$AI$18:$AI$27),0.4)</f>
        <v>0</v>
      </c>
      <c r="AE31" s="238"/>
      <c r="AF31" s="238">
        <f>MIN(SUMIF($G$18:$G$27,"Impervious Disconnection",$AI$18:$AI$27),0.4)</f>
        <v>0</v>
      </c>
      <c r="AG31" s="238"/>
    </row>
    <row r="32" spans="1:35" ht="13.9" customHeight="1" thickBot="1" x14ac:dyDescent="0.35">
      <c r="A32" s="137"/>
      <c r="B32" s="138"/>
      <c r="C32" s="139" t="s">
        <v>66</v>
      </c>
      <c r="D32" s="140">
        <f>(E11-G11)-D31</f>
        <v>0</v>
      </c>
      <c r="E32" s="137"/>
      <c r="F32" s="137"/>
      <c r="G32" s="143" t="s">
        <v>70</v>
      </c>
      <c r="H32" s="237">
        <f>MIN(SUM(AG18:AG27),0.4)</f>
        <v>0</v>
      </c>
      <c r="I32" s="237"/>
      <c r="J32" s="158"/>
      <c r="K32" s="158"/>
      <c r="L32" s="240"/>
      <c r="M32" s="242"/>
      <c r="Z32" s="85"/>
      <c r="AA32" s="86"/>
      <c r="AB32" s="86" t="s">
        <v>214</v>
      </c>
      <c r="AC32" s="86"/>
      <c r="AD32" s="86"/>
      <c r="AE32" s="86"/>
      <c r="AF32" s="86"/>
      <c r="AG32" s="86"/>
    </row>
    <row r="33" spans="1:33" ht="14.45" customHeight="1" thickBot="1" x14ac:dyDescent="0.35">
      <c r="A33" s="144" t="s">
        <v>79</v>
      </c>
      <c r="B33" s="145"/>
      <c r="C33" s="145"/>
      <c r="D33" s="146" t="str">
        <f>IF(H11-D31&lt;0, "You are managing more impervious acres than you have"," ")</f>
        <v xml:space="preserve"> </v>
      </c>
      <c r="E33" s="145"/>
      <c r="F33" s="145"/>
      <c r="G33" s="145"/>
      <c r="H33" s="147"/>
      <c r="I33" s="147"/>
      <c r="J33" s="147"/>
      <c r="K33" s="147"/>
      <c r="L33" s="147"/>
      <c r="M33" s="147"/>
      <c r="N33" s="88"/>
      <c r="Z33" s="85"/>
      <c r="AA33" s="86"/>
      <c r="AB33" s="86"/>
      <c r="AC33" s="86"/>
      <c r="AD33" s="86"/>
      <c r="AE33" s="86"/>
      <c r="AF33" s="86"/>
      <c r="AG33" s="86"/>
    </row>
    <row r="34" spans="1:33" ht="19.899999999999999" customHeight="1" thickTop="1" x14ac:dyDescent="0.3">
      <c r="A34" s="148" t="s">
        <v>143</v>
      </c>
      <c r="B34" s="149"/>
      <c r="C34" s="149"/>
      <c r="D34" s="149"/>
      <c r="E34" s="149"/>
      <c r="F34" s="149"/>
      <c r="G34" s="150"/>
      <c r="H34" s="148"/>
      <c r="I34" s="138"/>
      <c r="J34" s="138"/>
      <c r="K34" s="138"/>
      <c r="L34" s="138"/>
      <c r="M34" s="138"/>
      <c r="S34" s="172"/>
      <c r="Z34" s="85"/>
      <c r="AA34" s="86"/>
      <c r="AB34" s="86"/>
      <c r="AC34" s="86"/>
      <c r="AD34" s="86"/>
      <c r="AE34" s="86"/>
      <c r="AF34" s="86"/>
      <c r="AG34" s="86"/>
    </row>
    <row r="35" spans="1:33" ht="18" thickBot="1" x14ac:dyDescent="0.35">
      <c r="A35" s="144" t="s">
        <v>83</v>
      </c>
      <c r="B35" s="145"/>
      <c r="C35" s="145"/>
      <c r="D35" s="146"/>
      <c r="E35" s="145"/>
      <c r="F35" s="145"/>
      <c r="G35" s="145"/>
      <c r="H35" s="147"/>
      <c r="I35" s="147"/>
      <c r="J35" s="147"/>
      <c r="K35" s="147"/>
      <c r="L35" s="147"/>
      <c r="M35" s="147"/>
      <c r="N35" s="88"/>
    </row>
    <row r="36" spans="1:33" ht="15" customHeight="1" thickTop="1" x14ac:dyDescent="0.25">
      <c r="A36" s="201" t="s">
        <v>137</v>
      </c>
      <c r="B36" s="201"/>
      <c r="C36" s="201"/>
      <c r="D36" s="201"/>
      <c r="E36" s="201"/>
      <c r="F36" s="201"/>
      <c r="G36" s="201"/>
      <c r="H36" s="201"/>
      <c r="I36" s="201"/>
      <c r="J36" s="201"/>
      <c r="K36" s="201"/>
      <c r="L36" s="201"/>
      <c r="M36" s="201"/>
      <c r="N36" s="201"/>
      <c r="O36" s="201"/>
      <c r="P36" s="201"/>
      <c r="Q36" s="201"/>
      <c r="R36" s="201"/>
      <c r="S36" s="201"/>
      <c r="T36" s="201"/>
      <c r="U36" s="201"/>
      <c r="V36" s="201"/>
      <c r="W36" s="201"/>
      <c r="X36" s="201"/>
      <c r="Y36" s="201"/>
      <c r="Z36" s="25"/>
      <c r="AA36" s="25"/>
      <c r="AB36" s="25"/>
    </row>
    <row r="37" spans="1:33" ht="19.899999999999999" customHeight="1" x14ac:dyDescent="0.25">
      <c r="A37" s="25"/>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row>
  </sheetData>
  <mergeCells count="63">
    <mergeCell ref="W10:AH12"/>
    <mergeCell ref="W8:AG9"/>
    <mergeCell ref="J24:K24"/>
    <mergeCell ref="J25:K25"/>
    <mergeCell ref="J26:K26"/>
    <mergeCell ref="R16:W16"/>
    <mergeCell ref="Y16:AG16"/>
    <mergeCell ref="W13:AG14"/>
    <mergeCell ref="J27:K27"/>
    <mergeCell ref="B16:G16"/>
    <mergeCell ref="J19:K19"/>
    <mergeCell ref="J20:K20"/>
    <mergeCell ref="J21:K21"/>
    <mergeCell ref="J22:K22"/>
    <mergeCell ref="J23:K23"/>
    <mergeCell ref="B19:C19"/>
    <mergeCell ref="D19:E19"/>
    <mergeCell ref="B20:C20"/>
    <mergeCell ref="D20:E20"/>
    <mergeCell ref="B21:C21"/>
    <mergeCell ref="D21:E21"/>
    <mergeCell ref="B17:C17"/>
    <mergeCell ref="D17:E17"/>
    <mergeCell ref="B18:C18"/>
    <mergeCell ref="C6:E6"/>
    <mergeCell ref="I16:P16"/>
    <mergeCell ref="H7:I7"/>
    <mergeCell ref="H8:I8"/>
    <mergeCell ref="H9:I9"/>
    <mergeCell ref="H10:I10"/>
    <mergeCell ref="H11:I11"/>
    <mergeCell ref="D18:E18"/>
    <mergeCell ref="J18:K18"/>
    <mergeCell ref="J17:K17"/>
    <mergeCell ref="B22:C22"/>
    <mergeCell ref="D22:E22"/>
    <mergeCell ref="B23:C23"/>
    <mergeCell ref="D23:E23"/>
    <mergeCell ref="B24:C24"/>
    <mergeCell ref="D24:E24"/>
    <mergeCell ref="AF30:AG30"/>
    <mergeCell ref="B25:C25"/>
    <mergeCell ref="D25:E25"/>
    <mergeCell ref="B26:C26"/>
    <mergeCell ref="D26:E26"/>
    <mergeCell ref="B27:C27"/>
    <mergeCell ref="D27:E27"/>
    <mergeCell ref="Q30:T30"/>
    <mergeCell ref="U30:V30"/>
    <mergeCell ref="W30:Y30"/>
    <mergeCell ref="AB30:AC30"/>
    <mergeCell ref="AD30:AE30"/>
    <mergeCell ref="H31:I31"/>
    <mergeCell ref="H32:I32"/>
    <mergeCell ref="A36:Y36"/>
    <mergeCell ref="AD31:AE31"/>
    <mergeCell ref="AF31:AG31"/>
    <mergeCell ref="L31:L32"/>
    <mergeCell ref="M31:M32"/>
    <mergeCell ref="Q31:T31"/>
    <mergeCell ref="U31:V31"/>
    <mergeCell ref="W31:Y31"/>
    <mergeCell ref="AB31:AC31"/>
  </mergeCells>
  <conditionalFormatting sqref="AD18:AD28">
    <cfRule type="expression" dxfId="64" priority="74">
      <formula>$AI18&lt;#REF!</formula>
    </cfRule>
  </conditionalFormatting>
  <conditionalFormatting sqref="AE18:AE28">
    <cfRule type="expression" dxfId="63" priority="73">
      <formula>$AE18="Does NOT Provide Enough Storage for a 2-yr Storm"</formula>
    </cfRule>
  </conditionalFormatting>
  <conditionalFormatting sqref="D32">
    <cfRule type="expression" dxfId="62" priority="72">
      <formula>$D$32&lt;0</formula>
    </cfRule>
  </conditionalFormatting>
  <conditionalFormatting sqref="P18:P28">
    <cfRule type="expression" dxfId="61" priority="68">
      <formula>$F18&gt;0.75</formula>
    </cfRule>
  </conditionalFormatting>
  <conditionalFormatting sqref="P18:P28">
    <cfRule type="expression" dxfId="60" priority="149">
      <formula>$P18 ="Will NOT drain in 72 hrs"</formula>
    </cfRule>
  </conditionalFormatting>
  <conditionalFormatting sqref="L18:M18">
    <cfRule type="expression" dxfId="59" priority="154">
      <formula>OR($G18="Impervious Disconnection",$G18="Downspout Disconnection", $G18="Detention",$G18="Subsurface Detention Storage",$I18= "Storage Volume")</formula>
    </cfRule>
  </conditionalFormatting>
  <conditionalFormatting sqref="O18">
    <cfRule type="expression" dxfId="58" priority="155">
      <formula xml:space="preserve"> OR($G18="Impervious Disconnection",$G18="Downspout Disconnection",$I18= "EWDs")</formula>
    </cfRule>
  </conditionalFormatting>
  <conditionalFormatting sqref="U18:U27">
    <cfRule type="expression" dxfId="57" priority="57">
      <formula>$U18 ="Will NOT drain in 72 hrs"</formula>
    </cfRule>
  </conditionalFormatting>
  <conditionalFormatting sqref="J18">
    <cfRule type="expression" dxfId="56" priority="47">
      <formula>OR($G18="Detention",$G18="Subsurface Detention Storage")</formula>
    </cfRule>
  </conditionalFormatting>
  <conditionalFormatting sqref="L19">
    <cfRule type="expression" dxfId="55" priority="45">
      <formula>OR($G19="Impervious Disconnection",$G19="Downspout Disconnection", $G19="Detention",$G19="Subsurface Detention Storage",$I19= "Storage Volume")</formula>
    </cfRule>
  </conditionalFormatting>
  <conditionalFormatting sqref="N19:O19">
    <cfRule type="expression" dxfId="54" priority="46">
      <formula xml:space="preserve"> OR($G19="Impervious Disconnection",$G19="Downspout Disconnection",$I19= "EWDs")</formula>
    </cfRule>
  </conditionalFormatting>
  <conditionalFormatting sqref="J19">
    <cfRule type="expression" dxfId="53" priority="44">
      <formula>OR($G19="Detention",$G19="Subsurface Detention Storage")</formula>
    </cfRule>
  </conditionalFormatting>
  <conditionalFormatting sqref="N20:O20">
    <cfRule type="expression" dxfId="52" priority="43">
      <formula xml:space="preserve"> OR($G20="Impervious Disconnection",$G20="Downspout Disconnection",$I20= "EWDs")</formula>
    </cfRule>
  </conditionalFormatting>
  <conditionalFormatting sqref="J20">
    <cfRule type="expression" dxfId="51" priority="41">
      <formula>OR($G20="Detention",$G20="Subsurface Detention Storage")</formula>
    </cfRule>
  </conditionalFormatting>
  <conditionalFormatting sqref="N21:O21">
    <cfRule type="expression" dxfId="50" priority="40">
      <formula xml:space="preserve"> OR($G21="Impervious Disconnection",$G21="Downspout Disconnection",$I21= "EWDs")</formula>
    </cfRule>
  </conditionalFormatting>
  <conditionalFormatting sqref="J21">
    <cfRule type="expression" dxfId="49" priority="38">
      <formula>OR($G21="Detention",$G21="Subsurface Detention Storage")</formula>
    </cfRule>
  </conditionalFormatting>
  <conditionalFormatting sqref="L22:M22">
    <cfRule type="expression" dxfId="48" priority="36">
      <formula>OR($G22="Impervious Disconnection",$G22="Downspout Disconnection", $G22="Detention",$G22="Subsurface Detention Storage",$I22= "Storage Volume")</formula>
    </cfRule>
  </conditionalFormatting>
  <conditionalFormatting sqref="J22">
    <cfRule type="expression" dxfId="47" priority="35">
      <formula>OR($G22="Detention",$G22="Subsurface Detention Storage")</formula>
    </cfRule>
  </conditionalFormatting>
  <conditionalFormatting sqref="L25">
    <cfRule type="expression" dxfId="46" priority="16">
      <formula>OR($G25="Impervious Disconnection",$G25="Downspout Disconnection", $G25="Detention",$G25="Subsurface Detention Storage",$I25= "Storage Volume")</formula>
    </cfRule>
  </conditionalFormatting>
  <conditionalFormatting sqref="N23:O23">
    <cfRule type="expression" dxfId="45" priority="34">
      <formula xml:space="preserve"> OR($G23="Impervious Disconnection",$G23="Downspout Disconnection",$I23= "EWDs")</formula>
    </cfRule>
  </conditionalFormatting>
  <conditionalFormatting sqref="J23">
    <cfRule type="expression" dxfId="44" priority="32">
      <formula>OR($G23="Detention",$G23="Subsurface Detention Storage")</formula>
    </cfRule>
  </conditionalFormatting>
  <conditionalFormatting sqref="L24:M24">
    <cfRule type="expression" dxfId="43" priority="30">
      <formula>OR($G24="Impervious Disconnection",$G24="Downspout Disconnection", $G24="Detention",$G24="Subsurface Detention Storage",$I24= "Storage Volume")</formula>
    </cfRule>
  </conditionalFormatting>
  <conditionalFormatting sqref="N25:O25">
    <cfRule type="expression" dxfId="42" priority="28">
      <formula xml:space="preserve"> OR($G25="Impervious Disconnection",$G25="Downspout Disconnection",$I25= "EWDs")</formula>
    </cfRule>
  </conditionalFormatting>
  <conditionalFormatting sqref="J24">
    <cfRule type="expression" dxfId="41" priority="29">
      <formula>OR($G24="Detention",$G24="Subsurface Detention Storage")</formula>
    </cfRule>
  </conditionalFormatting>
  <conditionalFormatting sqref="M25">
    <cfRule type="expression" dxfId="40" priority="11">
      <formula>OR($G25="Impervious Disconnection",$G25="Downspout Disconnection", $G25="Detention",$G25="Subsurface Detention Storage",$I25= "Storage Volume")</formula>
    </cfRule>
  </conditionalFormatting>
  <conditionalFormatting sqref="J25">
    <cfRule type="expression" dxfId="39" priority="26">
      <formula>OR($G25="Detention",$G25="Subsurface Detention Storage")</formula>
    </cfRule>
  </conditionalFormatting>
  <conditionalFormatting sqref="L26:M26">
    <cfRule type="expression" dxfId="38" priority="24">
      <formula>OR($G26="Impervious Disconnection",$G26="Downspout Disconnection", $G26="Detention",$G26="Subsurface Detention Storage",$I26= "Storage Volume")</formula>
    </cfRule>
  </conditionalFormatting>
  <conditionalFormatting sqref="N26">
    <cfRule type="expression" dxfId="37" priority="25">
      <formula xml:space="preserve"> OR($G26="Impervious Disconnection",$G26="Downspout Disconnection",$I26= "EWDs")</formula>
    </cfRule>
  </conditionalFormatting>
  <conditionalFormatting sqref="J26">
    <cfRule type="expression" dxfId="36" priority="23">
      <formula>OR($G26="Detention",$G26="Subsurface Detention Storage")</formula>
    </cfRule>
  </conditionalFormatting>
  <conditionalFormatting sqref="N27:O27">
    <cfRule type="expression" dxfId="35" priority="22">
      <formula xml:space="preserve"> OR($G27="Impervious Disconnection",$G27="Downspout Disconnection",$I27= "EWDs")</formula>
    </cfRule>
  </conditionalFormatting>
  <conditionalFormatting sqref="J27">
    <cfRule type="expression" dxfId="34" priority="20">
      <formula>OR($G27="Detention",$G27="Subsurface Detention Storage")</formula>
    </cfRule>
  </conditionalFormatting>
  <conditionalFormatting sqref="L20">
    <cfRule type="expression" dxfId="33" priority="19">
      <formula>OR($G20="Impervious Disconnection",$G20="Downspout Disconnection", $G20="Detention",$G20="Subsurface Detention Storage",$I20= "Storage Volume")</formula>
    </cfRule>
  </conditionalFormatting>
  <conditionalFormatting sqref="L21">
    <cfRule type="expression" dxfId="32" priority="18">
      <formula>OR($G21="Impervious Disconnection",$G21="Downspout Disconnection", $G21="Detention",$G21="Subsurface Detention Storage",$I21= "Storage Volume")</formula>
    </cfRule>
  </conditionalFormatting>
  <conditionalFormatting sqref="L23">
    <cfRule type="expression" dxfId="31" priority="17">
      <formula>OR($G23="Impervious Disconnection",$G23="Downspout Disconnection", $G23="Detention",$G23="Subsurface Detention Storage",$I23= "Storage Volume")</formula>
    </cfRule>
  </conditionalFormatting>
  <conditionalFormatting sqref="L27:M27">
    <cfRule type="expression" dxfId="30" priority="15">
      <formula>OR($G27="Impervious Disconnection",$G27="Downspout Disconnection", $G27="Detention",$G27="Subsurface Detention Storage",$I27= "Storage Volume")</formula>
    </cfRule>
  </conditionalFormatting>
  <conditionalFormatting sqref="M23">
    <cfRule type="expression" dxfId="29" priority="10">
      <formula>OR($G23="Impervious Disconnection",$G23="Downspout Disconnection", $G23="Detention",$G23="Subsurface Detention Storage",$I23= "Storage Volume")</formula>
    </cfRule>
  </conditionalFormatting>
  <conditionalFormatting sqref="M20">
    <cfRule type="expression" dxfId="28" priority="9">
      <formula>OR($G20="Impervious Disconnection",$G20="Downspout Disconnection", $G20="Detention",$G20="Subsurface Detention Storage",$I20= "Storage Volume")</formula>
    </cfRule>
  </conditionalFormatting>
  <conditionalFormatting sqref="M21">
    <cfRule type="expression" dxfId="27" priority="8">
      <formula>OR($G21="Impervious Disconnection",$G21="Downspout Disconnection", $G21="Detention",$G21="Subsurface Detention Storage",$I21= "Storage Volume")</formula>
    </cfRule>
  </conditionalFormatting>
  <conditionalFormatting sqref="M19">
    <cfRule type="expression" dxfId="26" priority="7">
      <formula>OR($G19="Impervious Disconnection",$G19="Downspout Disconnection", $G19="Detention",$G19="Subsurface Detention Storage",$I19= "Storage Volume")</formula>
    </cfRule>
  </conditionalFormatting>
  <conditionalFormatting sqref="O22">
    <cfRule type="expression" dxfId="25" priority="6">
      <formula xml:space="preserve"> OR($G22="Impervious Disconnection",$G22="Downspout Disconnection",$I22= "EWDs")</formula>
    </cfRule>
  </conditionalFormatting>
  <conditionalFormatting sqref="O24">
    <cfRule type="expression" dxfId="24" priority="5">
      <formula xml:space="preserve"> OR($G24="Impervious Disconnection",$G24="Downspout Disconnection",$I24= "EWDs")</formula>
    </cfRule>
  </conditionalFormatting>
  <conditionalFormatting sqref="O26">
    <cfRule type="expression" dxfId="23" priority="4">
      <formula xml:space="preserve"> OR($G26="Impervious Disconnection",$G26="Downspout Disconnection",$I26= "EWDs")</formula>
    </cfRule>
  </conditionalFormatting>
  <conditionalFormatting sqref="N24">
    <cfRule type="expression" dxfId="22" priority="3">
      <formula xml:space="preserve"> OR($G24="Impervious Disconnection",$G24="Downspout Disconnection",$I24= "EWDs")</formula>
    </cfRule>
  </conditionalFormatting>
  <conditionalFormatting sqref="N22">
    <cfRule type="expression" dxfId="21" priority="2">
      <formula xml:space="preserve"> OR($G22="Impervious Disconnection",$G22="Downspout Disconnection",$I22= "EWDs")</formula>
    </cfRule>
  </conditionalFormatting>
  <conditionalFormatting sqref="N18">
    <cfRule type="expression" dxfId="20" priority="1">
      <formula xml:space="preserve"> OR($G18="Impervious Disconnection",$G18="Downspout Disconnection",$I18= "EWDs")</formula>
    </cfRule>
  </conditionalFormatting>
  <pageMargins left="0.7" right="0.51111111111111107" top="0.75" bottom="0.54285714285714282" header="0.3" footer="0.3"/>
  <pageSetup paperSize="3" scale="80" fitToWidth="0" fitToHeight="0" orientation="landscape" r:id="rId1"/>
  <headerFooter>
    <oddFooter>&amp;C&amp;K00-019DWSD Drainage Credit Calculator- Draft</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14:formula1>
            <xm:f>References!$A$5:$A$10</xm:f>
          </x14:formula1>
          <xm:sqref>G18:G28</xm:sqref>
        </x14:dataValidation>
        <x14:dataValidation type="list" allowBlank="1" showInputMessage="1" showErrorMessage="1">
          <x14:formula1>
            <xm:f>References!$A$15:$A$16</xm:f>
          </x14:formula1>
          <xm:sqref>O6</xm:sqref>
        </x14:dataValidation>
        <x14:dataValidation type="list" allowBlank="1" showInputMessage="1" showErrorMessage="1">
          <x14:formula1>
            <xm:f>References!$H$5:$H$11</xm:f>
          </x14:formula1>
          <xm:sqref>O28</xm:sqref>
        </x14:dataValidation>
        <x14:dataValidation type="list" allowBlank="1" showInputMessage="1" showErrorMessage="1">
          <x14:formula1>
            <xm:f>References!$D$14:$D$15</xm:f>
          </x14:formula1>
          <xm:sqref>I18:I27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K36"/>
  <sheetViews>
    <sheetView showGridLines="0" topLeftCell="A4" zoomScale="70" zoomScaleNormal="70" zoomScalePageLayoutView="50" workbookViewId="0">
      <selection activeCell="J16" sqref="J16"/>
    </sheetView>
  </sheetViews>
  <sheetFormatPr defaultColWidth="8.85546875" defaultRowHeight="15" x14ac:dyDescent="0.25"/>
  <cols>
    <col min="1" max="1" width="7.7109375" style="84" customWidth="1"/>
    <col min="2" max="2" width="10.5703125" style="84" customWidth="1"/>
    <col min="3" max="3" width="11.28515625" style="84" customWidth="1"/>
    <col min="4" max="5" width="9.28515625" style="84" customWidth="1"/>
    <col min="6" max="6" width="14.7109375" style="84" customWidth="1"/>
    <col min="7" max="7" width="13.28515625" style="84" customWidth="1"/>
    <col min="8" max="8" width="11.140625" style="84" customWidth="1"/>
    <col min="9" max="9" width="1.85546875" style="84" customWidth="1"/>
    <col min="10" max="12" width="9.28515625" style="84" customWidth="1"/>
    <col min="13" max="13" width="11.7109375" style="84" customWidth="1"/>
    <col min="14" max="14" width="8.140625" style="84" customWidth="1"/>
    <col min="15" max="19" width="12.42578125" style="84" customWidth="1"/>
    <col min="20" max="22" width="11.7109375" style="84" customWidth="1"/>
    <col min="23" max="23" width="10" style="84" customWidth="1"/>
    <col min="24" max="24" width="9.28515625" style="84" customWidth="1"/>
    <col min="25" max="25" width="9.5703125" style="84" customWidth="1"/>
    <col min="26" max="26" width="1.7109375" style="84" customWidth="1"/>
    <col min="27" max="27" width="10.28515625" style="84" customWidth="1"/>
    <col min="28" max="28" width="8.85546875" style="84" hidden="1" customWidth="1"/>
    <col min="29" max="29" width="0.140625" style="84" hidden="1" customWidth="1"/>
    <col min="30" max="30" width="11.7109375" style="84" customWidth="1"/>
    <col min="31" max="31" width="10.5703125" style="84" customWidth="1"/>
    <col min="32" max="32" width="8.7109375" style="84" customWidth="1"/>
    <col min="33" max="33" width="17.28515625" style="84" customWidth="1"/>
    <col min="34" max="34" width="7.5703125" style="84" customWidth="1"/>
    <col min="35" max="35" width="9.140625" style="84" customWidth="1"/>
    <col min="36" max="36" width="1.7109375" style="84" customWidth="1"/>
    <col min="37" max="37" width="7.7109375" style="84" customWidth="1"/>
    <col min="38" max="16384" width="8.85546875" style="84"/>
  </cols>
  <sheetData>
    <row r="1" spans="1:37" ht="24" thickBot="1" x14ac:dyDescent="0.4">
      <c r="A1" s="82" t="s">
        <v>35</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154" t="s">
        <v>82</v>
      </c>
      <c r="AH1" s="83"/>
      <c r="AI1" s="83"/>
    </row>
    <row r="2" spans="1:37" ht="17.25" thickTop="1" x14ac:dyDescent="0.3">
      <c r="A2" s="85" t="s">
        <v>166</v>
      </c>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155" t="s">
        <v>0</v>
      </c>
    </row>
    <row r="3" spans="1:37" ht="16.5" x14ac:dyDescent="0.3">
      <c r="A3" s="86"/>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156" t="s">
        <v>1</v>
      </c>
    </row>
    <row r="4" spans="1:37" ht="18" thickBot="1" x14ac:dyDescent="0.35">
      <c r="A4" s="87" t="s">
        <v>34</v>
      </c>
      <c r="B4" s="87"/>
      <c r="C4" s="87"/>
      <c r="D4" s="87"/>
      <c r="E4" s="87"/>
      <c r="F4" s="87"/>
      <c r="G4" s="87"/>
      <c r="H4" s="86"/>
      <c r="J4" s="87" t="s">
        <v>15</v>
      </c>
      <c r="K4" s="87"/>
      <c r="L4" s="87"/>
      <c r="M4" s="87"/>
      <c r="N4" s="87"/>
      <c r="O4" s="87"/>
      <c r="P4" s="87"/>
      <c r="Q4" s="87"/>
      <c r="R4" s="87"/>
      <c r="S4" s="87"/>
      <c r="T4" s="88"/>
      <c r="U4" s="88"/>
      <c r="V4" s="88"/>
      <c r="W4" s="86"/>
      <c r="X4" s="86"/>
      <c r="Y4" s="86"/>
      <c r="Z4" s="86"/>
      <c r="AA4" s="86"/>
      <c r="AB4" s="86"/>
      <c r="AC4" s="86"/>
      <c r="AD4" s="86"/>
      <c r="AE4" s="86"/>
      <c r="AF4" s="86"/>
      <c r="AG4" s="157" t="s">
        <v>81</v>
      </c>
    </row>
    <row r="5" spans="1:37" ht="6.6" customHeight="1" thickTop="1" x14ac:dyDescent="0.3">
      <c r="A5" s="86"/>
      <c r="B5" s="86"/>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row>
    <row r="6" spans="1:37" ht="16.5" x14ac:dyDescent="0.3">
      <c r="A6" s="86"/>
      <c r="B6" s="89" t="s">
        <v>36</v>
      </c>
      <c r="C6" s="255"/>
      <c r="D6" s="255"/>
      <c r="E6" s="255"/>
      <c r="F6" s="86"/>
      <c r="G6" s="86"/>
      <c r="H6" s="86"/>
      <c r="I6" s="86"/>
      <c r="J6" s="90"/>
      <c r="K6" s="90"/>
      <c r="L6" s="90"/>
      <c r="M6" s="86"/>
      <c r="N6" s="86"/>
      <c r="P6" s="91"/>
      <c r="Q6" s="91"/>
      <c r="R6" s="86"/>
      <c r="T6" s="91" t="s">
        <v>32</v>
      </c>
      <c r="V6" s="159" t="s">
        <v>26</v>
      </c>
      <c r="Z6" s="89" t="s">
        <v>33</v>
      </c>
      <c r="AA6" s="92">
        <v>0.1</v>
      </c>
      <c r="AB6" s="93"/>
      <c r="AC6" s="93"/>
      <c r="AE6" s="86"/>
      <c r="AF6" s="86"/>
      <c r="AG6" s="86"/>
    </row>
    <row r="7" spans="1:37" ht="40.15" customHeight="1" thickBot="1" x14ac:dyDescent="0.35">
      <c r="A7" s="86"/>
      <c r="B7" s="86"/>
      <c r="C7" s="94" t="s">
        <v>4</v>
      </c>
      <c r="D7" s="94" t="s">
        <v>5</v>
      </c>
      <c r="E7" s="94" t="s">
        <v>123</v>
      </c>
      <c r="G7" s="181"/>
      <c r="H7" s="152" t="s">
        <v>14</v>
      </c>
      <c r="J7" s="87" t="s">
        <v>142</v>
      </c>
      <c r="K7" s="87"/>
      <c r="L7" s="87"/>
      <c r="M7" s="88"/>
      <c r="N7" s="88"/>
      <c r="O7" s="88"/>
      <c r="P7" s="88"/>
      <c r="Q7" s="88"/>
      <c r="R7" s="88"/>
      <c r="S7" s="88"/>
      <c r="T7" s="88"/>
      <c r="U7" s="86"/>
      <c r="V7" s="86"/>
      <c r="W7" s="86"/>
      <c r="X7" s="86"/>
      <c r="Y7" s="86"/>
      <c r="Z7" s="86"/>
      <c r="AA7" s="86"/>
      <c r="AB7" s="86"/>
      <c r="AC7" s="86"/>
      <c r="AD7" s="86"/>
      <c r="AE7" s="86"/>
      <c r="AF7" s="86"/>
      <c r="AG7" s="86"/>
    </row>
    <row r="8" spans="1:37" ht="17.25" thickTop="1" x14ac:dyDescent="0.3">
      <c r="A8" s="86"/>
      <c r="B8" s="95">
        <v>1</v>
      </c>
      <c r="C8" s="96"/>
      <c r="D8" s="97"/>
      <c r="E8" s="97"/>
      <c r="F8" s="98"/>
      <c r="G8" s="182"/>
      <c r="H8" s="153">
        <f>E8-G8</f>
        <v>0</v>
      </c>
      <c r="I8" s="86"/>
      <c r="J8" s="86"/>
      <c r="K8" s="86"/>
      <c r="L8" s="86"/>
      <c r="M8" s="86" t="s">
        <v>119</v>
      </c>
      <c r="N8" s="86"/>
      <c r="O8" s="86" t="s">
        <v>118</v>
      </c>
      <c r="P8" s="86"/>
      <c r="Q8" s="86"/>
      <c r="R8" s="86"/>
      <c r="S8" s="86"/>
      <c r="T8" s="86"/>
      <c r="U8" s="86"/>
      <c r="V8" s="86"/>
      <c r="W8" s="86"/>
      <c r="X8" s="86"/>
      <c r="Y8" s="86"/>
      <c r="Z8" s="86"/>
      <c r="AA8" s="86"/>
      <c r="AB8" s="86"/>
      <c r="AC8" s="86"/>
      <c r="AD8" s="86"/>
      <c r="AE8" s="86"/>
      <c r="AF8" s="86"/>
      <c r="AG8" s="86"/>
    </row>
    <row r="9" spans="1:37" ht="16.5" x14ac:dyDescent="0.3">
      <c r="A9" s="86"/>
      <c r="B9" s="95">
        <v>2</v>
      </c>
      <c r="C9" s="96"/>
      <c r="D9" s="97"/>
      <c r="E9" s="97"/>
      <c r="F9" s="98"/>
      <c r="G9" s="182"/>
      <c r="H9" s="175">
        <f t="shared" ref="H9:H10" si="0">E9-G9</f>
        <v>0</v>
      </c>
      <c r="I9" s="86"/>
      <c r="J9" s="86"/>
      <c r="K9" s="86"/>
      <c r="L9" s="86"/>
      <c r="M9" s="99"/>
      <c r="N9" s="86"/>
      <c r="O9" s="265">
        <f>M9/43560</f>
        <v>0</v>
      </c>
      <c r="P9" s="265"/>
      <c r="Q9" s="265"/>
      <c r="R9" s="265"/>
      <c r="S9" s="265"/>
      <c r="T9" s="86"/>
      <c r="U9" s="86"/>
      <c r="V9" s="86"/>
      <c r="W9" s="86"/>
      <c r="X9" s="86"/>
      <c r="Y9" s="86"/>
      <c r="Z9" s="86"/>
      <c r="AA9" s="86"/>
      <c r="AB9" s="86"/>
      <c r="AC9" s="86"/>
      <c r="AD9" s="86"/>
      <c r="AE9" s="86"/>
      <c r="AF9" s="86"/>
      <c r="AG9" s="86"/>
    </row>
    <row r="10" spans="1:37" ht="16.5" x14ac:dyDescent="0.3">
      <c r="A10" s="86"/>
      <c r="B10" s="95">
        <v>3</v>
      </c>
      <c r="C10" s="96"/>
      <c r="D10" s="97"/>
      <c r="E10" s="97"/>
      <c r="F10" s="98"/>
      <c r="G10" s="182"/>
      <c r="H10" s="175">
        <f t="shared" si="0"/>
        <v>0</v>
      </c>
      <c r="I10" s="86"/>
      <c r="J10" s="86"/>
      <c r="K10" s="86"/>
      <c r="L10" s="86"/>
      <c r="M10" s="86" t="s">
        <v>118</v>
      </c>
      <c r="N10" s="86"/>
      <c r="O10" s="86" t="s">
        <v>119</v>
      </c>
      <c r="P10" s="86"/>
      <c r="Q10" s="86"/>
      <c r="R10" s="86"/>
      <c r="S10" s="86"/>
      <c r="T10" s="86"/>
      <c r="U10" s="86"/>
      <c r="V10" s="86"/>
      <c r="W10" s="86"/>
      <c r="X10" s="86"/>
      <c r="Y10" s="86"/>
      <c r="Z10" s="86"/>
      <c r="AA10" s="86"/>
      <c r="AB10" s="86"/>
      <c r="AC10" s="86"/>
      <c r="AD10" s="86"/>
      <c r="AE10" s="86"/>
      <c r="AF10" s="86"/>
      <c r="AG10" s="86"/>
    </row>
    <row r="11" spans="1:37" ht="16.5" x14ac:dyDescent="0.3">
      <c r="A11" s="86"/>
      <c r="B11" s="86" t="s">
        <v>3</v>
      </c>
      <c r="C11" s="86"/>
      <c r="D11" s="153">
        <f>SUM(D8:D10)</f>
        <v>0</v>
      </c>
      <c r="E11" s="153">
        <f>SUM(E8:E10)</f>
        <v>0</v>
      </c>
      <c r="G11" s="183"/>
      <c r="H11" s="153">
        <f>SUM(H8:H10)</f>
        <v>0</v>
      </c>
      <c r="I11" s="86"/>
      <c r="J11" s="86"/>
      <c r="K11" s="86"/>
      <c r="L11" s="86"/>
      <c r="M11" s="99"/>
      <c r="N11" s="86"/>
      <c r="O11" s="265">
        <f>M11*43560</f>
        <v>0</v>
      </c>
      <c r="P11" s="265"/>
      <c r="Q11" s="265"/>
      <c r="R11" s="265"/>
      <c r="S11" s="265"/>
      <c r="T11" s="86"/>
      <c r="U11" s="86"/>
      <c r="V11" s="86"/>
      <c r="W11" s="86"/>
      <c r="X11" s="86"/>
      <c r="Y11" s="86"/>
      <c r="Z11" s="86"/>
      <c r="AA11" s="86"/>
      <c r="AB11" s="86"/>
      <c r="AC11" s="86"/>
      <c r="AD11" s="86"/>
      <c r="AE11" s="86"/>
      <c r="AF11" s="86"/>
      <c r="AG11" s="86"/>
      <c r="AH11" s="86"/>
      <c r="AI11" s="86"/>
    </row>
    <row r="12" spans="1:37" ht="16.5" x14ac:dyDescent="0.3">
      <c r="A12" s="86"/>
      <c r="B12" s="86"/>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row>
    <row r="13" spans="1:37" ht="18" thickBot="1" x14ac:dyDescent="0.35">
      <c r="A13" s="87" t="s">
        <v>37</v>
      </c>
      <c r="B13" s="87"/>
      <c r="C13" s="87"/>
      <c r="D13" s="87"/>
      <c r="E13" s="87"/>
      <c r="F13" s="87"/>
      <c r="G13" s="87"/>
      <c r="H13" s="87"/>
      <c r="I13" s="87"/>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row>
    <row r="14" spans="1:37" ht="17.25" thickTop="1" x14ac:dyDescent="0.3">
      <c r="A14" s="86"/>
      <c r="B14" s="86"/>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row>
    <row r="15" spans="1:37" s="103" customFormat="1" ht="16.899999999999999" customHeight="1" thickBot="1" x14ac:dyDescent="0.3">
      <c r="A15" s="100"/>
      <c r="B15" s="256" t="s">
        <v>39</v>
      </c>
      <c r="C15" s="256"/>
      <c r="D15" s="256"/>
      <c r="E15" s="256"/>
      <c r="F15" s="256"/>
      <c r="G15" s="262" t="s">
        <v>43</v>
      </c>
      <c r="H15" s="262"/>
      <c r="I15" s="94"/>
      <c r="J15" s="256" t="s">
        <v>184</v>
      </c>
      <c r="K15" s="256"/>
      <c r="L15" s="256"/>
      <c r="M15" s="256"/>
      <c r="N15" s="256"/>
      <c r="O15" s="256"/>
      <c r="P15" s="256"/>
      <c r="Q15" s="256"/>
      <c r="R15" s="256"/>
      <c r="S15" s="101"/>
      <c r="T15" s="256" t="s">
        <v>64</v>
      </c>
      <c r="U15" s="256"/>
      <c r="V15" s="256"/>
      <c r="W15" s="256"/>
      <c r="X15" s="256"/>
      <c r="Y15" s="256"/>
      <c r="Z15" s="100"/>
      <c r="AA15" s="262" t="s">
        <v>65</v>
      </c>
      <c r="AB15" s="262"/>
      <c r="AC15" s="262"/>
      <c r="AD15" s="262"/>
      <c r="AE15" s="262"/>
      <c r="AF15" s="262"/>
      <c r="AG15" s="262"/>
      <c r="AH15" s="262"/>
      <c r="AI15" s="262"/>
      <c r="AJ15" s="84"/>
      <c r="AK15" s="102"/>
    </row>
    <row r="16" spans="1:37" ht="64.150000000000006" customHeight="1" x14ac:dyDescent="0.25">
      <c r="A16" s="94" t="s">
        <v>38</v>
      </c>
      <c r="B16" s="259" t="s">
        <v>16</v>
      </c>
      <c r="C16" s="259"/>
      <c r="D16" s="254" t="s">
        <v>165</v>
      </c>
      <c r="E16" s="254"/>
      <c r="F16" s="94" t="s">
        <v>40</v>
      </c>
      <c r="G16" s="94" t="s">
        <v>42</v>
      </c>
      <c r="H16" s="176" t="s">
        <v>186</v>
      </c>
      <c r="I16" s="94"/>
      <c r="J16" s="94" t="s">
        <v>41</v>
      </c>
      <c r="K16" s="176" t="s">
        <v>189</v>
      </c>
      <c r="L16" s="176" t="s">
        <v>191</v>
      </c>
      <c r="M16" s="94" t="s">
        <v>44</v>
      </c>
      <c r="N16" s="94" t="s">
        <v>45</v>
      </c>
      <c r="O16" s="94" t="s">
        <v>89</v>
      </c>
      <c r="P16" s="94" t="s">
        <v>185</v>
      </c>
      <c r="Q16" s="94" t="s">
        <v>183</v>
      </c>
      <c r="R16" s="94" t="s">
        <v>191</v>
      </c>
      <c r="S16" s="104"/>
      <c r="T16" s="105" t="s">
        <v>52</v>
      </c>
      <c r="U16" s="106" t="s">
        <v>53</v>
      </c>
      <c r="V16" s="106" t="s">
        <v>54</v>
      </c>
      <c r="W16" s="106" t="s">
        <v>55</v>
      </c>
      <c r="X16" s="106" t="s">
        <v>56</v>
      </c>
      <c r="Y16" s="105" t="s">
        <v>57</v>
      </c>
      <c r="Z16" s="105"/>
      <c r="AA16" s="105" t="s">
        <v>58</v>
      </c>
      <c r="AB16" s="105" t="s">
        <v>59</v>
      </c>
      <c r="AC16" s="105" t="s">
        <v>67</v>
      </c>
      <c r="AD16" s="105" t="s">
        <v>144</v>
      </c>
      <c r="AE16" s="105" t="s">
        <v>145</v>
      </c>
      <c r="AF16" s="105" t="s">
        <v>60</v>
      </c>
      <c r="AG16" s="105" t="s">
        <v>61</v>
      </c>
      <c r="AH16" s="105" t="s">
        <v>62</v>
      </c>
      <c r="AI16" s="105" t="s">
        <v>63</v>
      </c>
      <c r="AK16" s="107" t="s">
        <v>126</v>
      </c>
    </row>
    <row r="17" spans="1:37" ht="37.15" customHeight="1" x14ac:dyDescent="0.25">
      <c r="A17" s="108">
        <v>1</v>
      </c>
      <c r="B17" s="245"/>
      <c r="C17" s="246"/>
      <c r="D17" s="247"/>
      <c r="E17" s="248"/>
      <c r="F17" s="72"/>
      <c r="G17" s="109"/>
      <c r="H17" s="179" t="s">
        <v>187</v>
      </c>
      <c r="I17" s="100"/>
      <c r="J17" s="173">
        <v>100</v>
      </c>
      <c r="K17" s="173">
        <v>324</v>
      </c>
      <c r="L17" s="173">
        <v>1.5</v>
      </c>
      <c r="M17" s="110"/>
      <c r="N17" s="111"/>
      <c r="O17" s="110" t="str">
        <f t="shared" ref="O17:O26" si="1">IF(G17 = "Subsurface Detention Storage","",IF(G17 = "Detention", "","N/A"))</f>
        <v>N/A</v>
      </c>
      <c r="P17" s="110"/>
      <c r="Q17" s="73">
        <f>IF(P17&gt;($AA$6*72*J17),"Will NOT drain in 72 hrs",(P17))</f>
        <v>0</v>
      </c>
      <c r="R17" s="112"/>
      <c r="S17" s="100"/>
      <c r="T17" s="108" t="str">
        <f>IF($G17="Detention","NO",IF(G17="Subsurface Detention Storage","NO",IF(G17="","NO","YES")))</f>
        <v>NO</v>
      </c>
      <c r="U17" s="113" t="str">
        <f t="shared" ref="U17:U26" si="2">IF(G17="Permeable Pavement",(((J17*43560)*(M17/12))/(D17*43560))*12, IF(G17 = "Bioretention",(((J17*43560)*(M17/12))/(D17*43560))*12,  "N/A"))</f>
        <v>N/A</v>
      </c>
      <c r="V17" s="74" t="str">
        <f>IF(G17="Bioretention","N/A",IF(G17="Downspout Disconnection",J17/D17,IF(G17="Impervious Disconnection",J17/D17,IF(G17="Permeable Pavement","N/A","N/A"))))</f>
        <v>N/A</v>
      </c>
      <c r="W17" s="75" t="str">
        <f t="shared" ref="W17:W26" si="3">IF(Q17="Will NOT drain in 72 hrs","Will NOT drain in 72 hrs",IF(G17="Bioretention",(1-2.5^(-2.536*U17)),IF(G17="Downspout Disconnection",(0.94*(V17/(V17+0.25))),IF(G17="Impervious Disconnection",(0.94*(V17/(0.25+V17))),IF(G17="Permeable Pavement",(1-2.5^(-2.536*U17)),"N/A")))))</f>
        <v>N/A</v>
      </c>
      <c r="X17" s="76" t="str">
        <f>IF(W17="Will NOT drain in 72 hrs","N/A",IF(AND(T17="YES",W17&gt;100),40,IF(T17="YES",W17*0.4,"N/A")))</f>
        <v>N/A</v>
      </c>
      <c r="Y17" s="77" t="str">
        <f>IF(X17="N/A","N/A",((X17*($D17/($E$11-#REF!)))))</f>
        <v>N/A</v>
      </c>
      <c r="Z17" s="114"/>
      <c r="AA17" s="108" t="str">
        <f>IF(AND($G17="Detention",NOT(OR(O17="N/A",O17=""))),"YES",IF(AND($G17="Subsurface Detention Storage",NOT(OR(O17="N/A",O17=""))),"YES",IF(AND($G17="Bioretention",NOT(OR(G17="N/A",G17=""))),"YES",IF(AND($G17="Permeable Pavement",NOT(OR(G17="N/A",G17=""))),"YES","NO"))))</f>
        <v>NO</v>
      </c>
      <c r="AB17" s="115">
        <f t="shared" ref="AB17:AB24" si="4">0.15*E17</f>
        <v>0</v>
      </c>
      <c r="AC17" s="116" t="str">
        <f t="shared" ref="AC17:AC26" si="5">IF(AND(AA17="YES", G17 = "Detention"),((((AB17/(0.61*SQRT(32.2*((O17/(J17*43560))/12))))/PI())^0.5)*2)*12,IF(AND(AA17="YES", G17 = "Subsurface Detention Storage"),((((AB17/(0.61*SQRT(32.2*((O17/(J17*43560))/12))))/PI())^0.5)*2)*12,IF((AA17="YES"),((((AB17/(0.61*SQRT(32.2*(N17/12))))/PI())^0.5)*2)*12, "N/A")))</f>
        <v>N/A</v>
      </c>
      <c r="AD17" s="78" t="str">
        <f t="shared" ref="AD17:AD26" si="6">IF(AA17="NO","N/A",4220*D17)</f>
        <v>N/A</v>
      </c>
      <c r="AE17" s="79" t="str">
        <f t="shared" ref="AE17:AE26" si="7">IF(AA17="NO","N/A",11750*D17)</f>
        <v>N/A</v>
      </c>
      <c r="AF17" s="79" t="str">
        <f t="shared" ref="AF17:AF26" si="8">IF(AND(G17="Detention",AA17="YES"),O17,IF(AND(G17="Subsurface Detention Storage",AA17="YES"),O17,IF(AA17="YES",(N17/12)*(J17*43560),"N/A")))</f>
        <v>N/A</v>
      </c>
      <c r="AG17" s="80" t="str">
        <f>IF(AND(AA17="YES",AF17&gt;AD17),MIN(((AF17)/AE17),1),IF(AND(AA17="YES",AF17&lt;AD17),"Does NOT Provide Enough Storage for a 2-yr Storm","N/A"))</f>
        <v>N/A</v>
      </c>
      <c r="AH17" s="81" t="str">
        <f>IF(AG17="Does NOT Provide Enough Storage for a 2-yr Storm","N/A",IF(AND(AG17&lt;&gt;"N/A",AG17&gt;=100),40,IF(AG17&lt;&gt;"N/A",AG17*0.4,"N/A")))</f>
        <v>N/A</v>
      </c>
      <c r="AI17" s="117" t="str">
        <f>IF(AH17="N/A","N/A",(AH17*($D17/($E$11-#REF!))))</f>
        <v>N/A</v>
      </c>
      <c r="AK17" s="132">
        <f>SUM(AI17,Y17)</f>
        <v>0</v>
      </c>
    </row>
    <row r="18" spans="1:37" ht="36" customHeight="1" x14ac:dyDescent="0.25">
      <c r="A18" s="108">
        <v>2</v>
      </c>
      <c r="B18" s="245"/>
      <c r="C18" s="246"/>
      <c r="D18" s="247"/>
      <c r="E18" s="248"/>
      <c r="F18" s="72"/>
      <c r="G18" s="109"/>
      <c r="I18" s="100"/>
      <c r="J18" s="180" t="s">
        <v>188</v>
      </c>
      <c r="K18" s="173"/>
      <c r="L18" s="173"/>
      <c r="M18" s="110"/>
      <c r="N18" s="111"/>
      <c r="O18" s="110" t="str">
        <f t="shared" si="1"/>
        <v>N/A</v>
      </c>
      <c r="P18" s="110"/>
      <c r="Q18" s="73">
        <f t="shared" ref="Q18:Q26" si="9">IF(M18&gt;($AA$6*72),"Will NOT drain in 72 hrs",$AA$6)</f>
        <v>0.1</v>
      </c>
      <c r="R18" s="112"/>
      <c r="S18" s="100"/>
      <c r="T18" s="108" t="str">
        <f>IF($G18="Detention","NO",IF(G18="Subsurface Detention Storage","NO",IF(G18="","NO","YES")))</f>
        <v>NO</v>
      </c>
      <c r="U18" s="113" t="str">
        <f t="shared" si="2"/>
        <v>N/A</v>
      </c>
      <c r="V18" s="74" t="str">
        <f t="shared" ref="V18:V26" si="10">IF(G18="Bioretention","N/A",IF(G18="Downspout Disconnection",J18/D18,IF(G18="Impervious Disconnection",J18/D18,IF(G18="Permeable Pavement","N/A",IF(G18="Bioretention","Does NOT use the Practice Ratio Method","N/A")))))</f>
        <v>N/A</v>
      </c>
      <c r="W18" s="75" t="str">
        <f t="shared" si="3"/>
        <v>N/A</v>
      </c>
      <c r="X18" s="76" t="str">
        <f t="shared" ref="X18:X26" si="11">IF(W18="Will NOT drain in 72 hrs","N/A",IF(AND(T18="YES",W18&gt;100),40,IF(T18="YES",W18*0.4,"N/A")))</f>
        <v>N/A</v>
      </c>
      <c r="Y18" s="77" t="str">
        <f>IF(X18="N/A","N/A",((X18*($D18/($E$11-#REF!)))))</f>
        <v>N/A</v>
      </c>
      <c r="Z18" s="114"/>
      <c r="AA18" s="108" t="str">
        <f t="shared" ref="AA18:AA26" si="12">IF(AND($G18="Detention",NOT(OR(O18="N/A",O18=""))),"YES",IF(AND($G18="Subsurface Detention Storage",NOT(OR(O18="N/A",O18=""))),"YES",IF(AND($G18="Bioretention",NOT(OR(G18="N/A",G18=""))),"YES",IF(AND($G18="Permeable Pavement",NOT(OR(G18="N/A",G18=""))),"YES","NO"))))</f>
        <v>NO</v>
      </c>
      <c r="AB18" s="115">
        <f t="shared" si="4"/>
        <v>0</v>
      </c>
      <c r="AC18" s="116" t="str">
        <f t="shared" si="5"/>
        <v>N/A</v>
      </c>
      <c r="AD18" s="78" t="str">
        <f t="shared" si="6"/>
        <v>N/A</v>
      </c>
      <c r="AE18" s="79" t="str">
        <f t="shared" si="7"/>
        <v>N/A</v>
      </c>
      <c r="AF18" s="79" t="str">
        <f t="shared" si="8"/>
        <v>N/A</v>
      </c>
      <c r="AG18" s="80" t="str">
        <f t="shared" ref="AG18:AG26" si="13">IF(AND(AA18="YES",AF18&gt;AD18),MIN(((AF18)/AE18),1),IF(AND(AA18="YES",AF18&lt;AD18),"Does NOT Provide Enough Storage for a 2-yr Storm","N/A"))</f>
        <v>N/A</v>
      </c>
      <c r="AH18" s="81" t="str">
        <f t="shared" ref="AH18:AH26" si="14">IF(AG18="Does NOT Provide Enough Storage for a 2-yr Storm","N/A",IF(AND(AG18&lt;&gt;"N/A",AG18&gt;=100),40,IF(AG18&lt;&gt;"N/A",AG18*0.4,"N/A")))</f>
        <v>N/A</v>
      </c>
      <c r="AI18" s="117" t="str">
        <f>IF(AH18="N/A","N/A",(AH18*($D18/($E$11-#REF!))))</f>
        <v>N/A</v>
      </c>
      <c r="AK18" s="132">
        <f t="shared" ref="AK18:AK26" si="15">SUM(AI18,Y18)</f>
        <v>0</v>
      </c>
    </row>
    <row r="19" spans="1:37" ht="36.6" customHeight="1" x14ac:dyDescent="0.25">
      <c r="A19" s="108">
        <v>3</v>
      </c>
      <c r="B19" s="245"/>
      <c r="C19" s="246"/>
      <c r="D19" s="247"/>
      <c r="E19" s="248"/>
      <c r="F19" s="72"/>
      <c r="G19" s="109"/>
      <c r="I19" s="100"/>
      <c r="J19" s="126"/>
      <c r="K19" s="173" t="s">
        <v>190</v>
      </c>
      <c r="L19" s="173"/>
      <c r="M19" s="110"/>
      <c r="N19" s="111"/>
      <c r="O19" s="110" t="str">
        <f t="shared" si="1"/>
        <v>N/A</v>
      </c>
      <c r="P19" s="110"/>
      <c r="Q19" s="73">
        <f t="shared" si="9"/>
        <v>0.1</v>
      </c>
      <c r="R19" s="112"/>
      <c r="S19" s="100"/>
      <c r="T19" s="108" t="str">
        <f t="shared" ref="T19:T26" si="16">IF($G19="Detention","NO",IF(G19="Subsurface Detention Storage","NO",IF(G19="","NO","YES")))</f>
        <v>NO</v>
      </c>
      <c r="U19" s="113" t="str">
        <f t="shared" si="2"/>
        <v>N/A</v>
      </c>
      <c r="V19" s="74" t="str">
        <f t="shared" si="10"/>
        <v>N/A</v>
      </c>
      <c r="W19" s="75" t="str">
        <f t="shared" si="3"/>
        <v>N/A</v>
      </c>
      <c r="X19" s="76" t="str">
        <f t="shared" si="11"/>
        <v>N/A</v>
      </c>
      <c r="Y19" s="77" t="str">
        <f>IF(X19="N/A","N/A",((X19*($D19/($E$11-#REF!)))))</f>
        <v>N/A</v>
      </c>
      <c r="Z19" s="114"/>
      <c r="AA19" s="108" t="str">
        <f t="shared" si="12"/>
        <v>NO</v>
      </c>
      <c r="AB19" s="115">
        <f t="shared" si="4"/>
        <v>0</v>
      </c>
      <c r="AC19" s="116" t="str">
        <f t="shared" si="5"/>
        <v>N/A</v>
      </c>
      <c r="AD19" s="78" t="str">
        <f t="shared" si="6"/>
        <v>N/A</v>
      </c>
      <c r="AE19" s="79" t="str">
        <f t="shared" si="7"/>
        <v>N/A</v>
      </c>
      <c r="AF19" s="79" t="str">
        <f t="shared" si="8"/>
        <v>N/A</v>
      </c>
      <c r="AG19" s="80" t="str">
        <f t="shared" si="13"/>
        <v>N/A</v>
      </c>
      <c r="AH19" s="81" t="str">
        <f t="shared" si="14"/>
        <v>N/A</v>
      </c>
      <c r="AI19" s="117" t="str">
        <f>IF(AH19="N/A","N/A",(AH19*($D19/($E$11-#REF!))))</f>
        <v>N/A</v>
      </c>
      <c r="AK19" s="132">
        <f t="shared" si="15"/>
        <v>0</v>
      </c>
    </row>
    <row r="20" spans="1:37" ht="36" customHeight="1" x14ac:dyDescent="0.25">
      <c r="A20" s="108">
        <v>4</v>
      </c>
      <c r="B20" s="245"/>
      <c r="C20" s="246"/>
      <c r="D20" s="247"/>
      <c r="E20" s="248"/>
      <c r="F20" s="72"/>
      <c r="G20" s="109"/>
      <c r="I20" s="100"/>
      <c r="J20" s="126"/>
      <c r="K20" s="173"/>
      <c r="L20" s="173"/>
      <c r="M20" s="110"/>
      <c r="N20" s="111"/>
      <c r="O20" s="110" t="str">
        <f t="shared" si="1"/>
        <v>N/A</v>
      </c>
      <c r="P20" s="110"/>
      <c r="Q20" s="73">
        <f t="shared" si="9"/>
        <v>0.1</v>
      </c>
      <c r="R20" s="112"/>
      <c r="S20" s="100"/>
      <c r="T20" s="108" t="str">
        <f>IF($G20="Detention","NO",IF(G20="Subsurface Detention Storage","NO",IF(G20="","NO","YES")))</f>
        <v>NO</v>
      </c>
      <c r="U20" s="113" t="str">
        <f t="shared" si="2"/>
        <v>N/A</v>
      </c>
      <c r="V20" s="74" t="str">
        <f t="shared" si="10"/>
        <v>N/A</v>
      </c>
      <c r="W20" s="75" t="str">
        <f t="shared" si="3"/>
        <v>N/A</v>
      </c>
      <c r="X20" s="76" t="str">
        <f t="shared" si="11"/>
        <v>N/A</v>
      </c>
      <c r="Y20" s="77" t="str">
        <f>IF(X20="N/A","N/A",((X20*($D20/($E$11-#REF!)))))</f>
        <v>N/A</v>
      </c>
      <c r="Z20" s="114"/>
      <c r="AA20" s="108" t="str">
        <f t="shared" si="12"/>
        <v>NO</v>
      </c>
      <c r="AB20" s="115">
        <f t="shared" si="4"/>
        <v>0</v>
      </c>
      <c r="AC20" s="116" t="str">
        <f t="shared" si="5"/>
        <v>N/A</v>
      </c>
      <c r="AD20" s="78" t="str">
        <f t="shared" si="6"/>
        <v>N/A</v>
      </c>
      <c r="AE20" s="79" t="str">
        <f t="shared" si="7"/>
        <v>N/A</v>
      </c>
      <c r="AF20" s="79" t="str">
        <f t="shared" si="8"/>
        <v>N/A</v>
      </c>
      <c r="AG20" s="80" t="str">
        <f t="shared" si="13"/>
        <v>N/A</v>
      </c>
      <c r="AH20" s="81" t="str">
        <f t="shared" si="14"/>
        <v>N/A</v>
      </c>
      <c r="AI20" s="117" t="str">
        <f>IF(AH20="N/A","N/A",(AH20*($D20/($E$11-#REF!))))</f>
        <v>N/A</v>
      </c>
      <c r="AK20" s="132">
        <f t="shared" si="15"/>
        <v>0</v>
      </c>
    </row>
    <row r="21" spans="1:37" ht="36" customHeight="1" x14ac:dyDescent="0.25">
      <c r="A21" s="108">
        <v>5</v>
      </c>
      <c r="B21" s="245"/>
      <c r="C21" s="246"/>
      <c r="D21" s="247"/>
      <c r="E21" s="248"/>
      <c r="F21" s="72"/>
      <c r="G21" s="109"/>
      <c r="I21" s="100"/>
      <c r="J21" s="126"/>
      <c r="K21" s="173"/>
      <c r="L21" s="173"/>
      <c r="M21" s="110"/>
      <c r="N21" s="111"/>
      <c r="O21" s="110" t="str">
        <f t="shared" si="1"/>
        <v>N/A</v>
      </c>
      <c r="P21" s="110"/>
      <c r="Q21" s="73">
        <f t="shared" si="9"/>
        <v>0.1</v>
      </c>
      <c r="R21" s="112"/>
      <c r="S21" s="100"/>
      <c r="T21" s="108" t="str">
        <f t="shared" si="16"/>
        <v>NO</v>
      </c>
      <c r="U21" s="113" t="str">
        <f t="shared" si="2"/>
        <v>N/A</v>
      </c>
      <c r="V21" s="74" t="str">
        <f t="shared" si="10"/>
        <v>N/A</v>
      </c>
      <c r="W21" s="75" t="str">
        <f t="shared" si="3"/>
        <v>N/A</v>
      </c>
      <c r="X21" s="76" t="str">
        <f t="shared" si="11"/>
        <v>N/A</v>
      </c>
      <c r="Y21" s="77" t="str">
        <f>IF(X21="N/A","N/A",((X21*($D21/($E$11-#REF!)))))</f>
        <v>N/A</v>
      </c>
      <c r="Z21" s="114"/>
      <c r="AA21" s="108" t="str">
        <f t="shared" si="12"/>
        <v>NO</v>
      </c>
      <c r="AB21" s="115">
        <f t="shared" si="4"/>
        <v>0</v>
      </c>
      <c r="AC21" s="116" t="str">
        <f t="shared" si="5"/>
        <v>N/A</v>
      </c>
      <c r="AD21" s="78" t="str">
        <f t="shared" si="6"/>
        <v>N/A</v>
      </c>
      <c r="AE21" s="79" t="str">
        <f t="shared" si="7"/>
        <v>N/A</v>
      </c>
      <c r="AF21" s="79" t="str">
        <f t="shared" si="8"/>
        <v>N/A</v>
      </c>
      <c r="AG21" s="80" t="str">
        <f t="shared" si="13"/>
        <v>N/A</v>
      </c>
      <c r="AH21" s="81" t="str">
        <f t="shared" si="14"/>
        <v>N/A</v>
      </c>
      <c r="AI21" s="117" t="str">
        <f>IF(AH21="N/A","N/A",(AH21*($D21/($E$11-#REF!))))</f>
        <v>N/A</v>
      </c>
      <c r="AK21" s="132">
        <f t="shared" si="15"/>
        <v>0</v>
      </c>
    </row>
    <row r="22" spans="1:37" ht="36" customHeight="1" x14ac:dyDescent="0.25">
      <c r="A22" s="108">
        <v>6</v>
      </c>
      <c r="B22" s="245"/>
      <c r="C22" s="246"/>
      <c r="D22" s="247"/>
      <c r="E22" s="248"/>
      <c r="F22" s="72"/>
      <c r="G22" s="109"/>
      <c r="I22" s="100"/>
      <c r="J22" s="126"/>
      <c r="K22" s="173"/>
      <c r="L22" s="173"/>
      <c r="M22" s="110"/>
      <c r="N22" s="111"/>
      <c r="O22" s="110" t="str">
        <f t="shared" si="1"/>
        <v>N/A</v>
      </c>
      <c r="P22" s="110"/>
      <c r="Q22" s="73">
        <f t="shared" si="9"/>
        <v>0.1</v>
      </c>
      <c r="R22" s="112"/>
      <c r="S22" s="100"/>
      <c r="T22" s="108" t="str">
        <f t="shared" si="16"/>
        <v>NO</v>
      </c>
      <c r="U22" s="113" t="str">
        <f t="shared" si="2"/>
        <v>N/A</v>
      </c>
      <c r="V22" s="74" t="str">
        <f t="shared" si="10"/>
        <v>N/A</v>
      </c>
      <c r="W22" s="75" t="str">
        <f t="shared" si="3"/>
        <v>N/A</v>
      </c>
      <c r="X22" s="76" t="str">
        <f t="shared" si="11"/>
        <v>N/A</v>
      </c>
      <c r="Y22" s="77" t="str">
        <f>IF(X22="N/A","N/A",((X22*($D22/($E$11-#REF!)))))</f>
        <v>N/A</v>
      </c>
      <c r="Z22" s="114"/>
      <c r="AA22" s="108" t="str">
        <f t="shared" si="12"/>
        <v>NO</v>
      </c>
      <c r="AB22" s="115">
        <f t="shared" si="4"/>
        <v>0</v>
      </c>
      <c r="AC22" s="116" t="str">
        <f t="shared" si="5"/>
        <v>N/A</v>
      </c>
      <c r="AD22" s="78" t="str">
        <f t="shared" si="6"/>
        <v>N/A</v>
      </c>
      <c r="AE22" s="79" t="str">
        <f t="shared" si="7"/>
        <v>N/A</v>
      </c>
      <c r="AF22" s="79" t="str">
        <f t="shared" si="8"/>
        <v>N/A</v>
      </c>
      <c r="AG22" s="80" t="str">
        <f t="shared" si="13"/>
        <v>N/A</v>
      </c>
      <c r="AH22" s="81" t="str">
        <f t="shared" si="14"/>
        <v>N/A</v>
      </c>
      <c r="AI22" s="117" t="str">
        <f>IF(AH22="N/A","N/A",(AH22*($D22/($E$11-#REF!))))</f>
        <v>N/A</v>
      </c>
      <c r="AK22" s="132">
        <f t="shared" si="15"/>
        <v>0</v>
      </c>
    </row>
    <row r="23" spans="1:37" ht="36" customHeight="1" x14ac:dyDescent="0.25">
      <c r="A23" s="108">
        <v>7</v>
      </c>
      <c r="B23" s="245"/>
      <c r="C23" s="246"/>
      <c r="D23" s="247"/>
      <c r="E23" s="248"/>
      <c r="F23" s="72"/>
      <c r="G23" s="109"/>
      <c r="I23" s="100"/>
      <c r="J23" s="126"/>
      <c r="K23" s="173"/>
      <c r="L23" s="173"/>
      <c r="M23" s="110"/>
      <c r="N23" s="111"/>
      <c r="O23" s="110" t="str">
        <f t="shared" si="1"/>
        <v>N/A</v>
      </c>
      <c r="P23" s="110"/>
      <c r="Q23" s="73">
        <f t="shared" si="9"/>
        <v>0.1</v>
      </c>
      <c r="R23" s="112"/>
      <c r="S23" s="100"/>
      <c r="T23" s="108" t="str">
        <f t="shared" si="16"/>
        <v>NO</v>
      </c>
      <c r="U23" s="113" t="str">
        <f t="shared" si="2"/>
        <v>N/A</v>
      </c>
      <c r="V23" s="74" t="str">
        <f t="shared" si="10"/>
        <v>N/A</v>
      </c>
      <c r="W23" s="75" t="str">
        <f t="shared" si="3"/>
        <v>N/A</v>
      </c>
      <c r="X23" s="76" t="str">
        <f t="shared" si="11"/>
        <v>N/A</v>
      </c>
      <c r="Y23" s="77" t="str">
        <f>IF(X23="N/A","N/A",((X23*($D23/($E$11-#REF!)))))</f>
        <v>N/A</v>
      </c>
      <c r="Z23" s="114"/>
      <c r="AA23" s="108" t="str">
        <f t="shared" si="12"/>
        <v>NO</v>
      </c>
      <c r="AB23" s="115">
        <f t="shared" si="4"/>
        <v>0</v>
      </c>
      <c r="AC23" s="116" t="str">
        <f t="shared" si="5"/>
        <v>N/A</v>
      </c>
      <c r="AD23" s="78" t="str">
        <f t="shared" si="6"/>
        <v>N/A</v>
      </c>
      <c r="AE23" s="79" t="str">
        <f t="shared" si="7"/>
        <v>N/A</v>
      </c>
      <c r="AF23" s="79" t="str">
        <f t="shared" si="8"/>
        <v>N/A</v>
      </c>
      <c r="AG23" s="80" t="str">
        <f t="shared" si="13"/>
        <v>N/A</v>
      </c>
      <c r="AH23" s="81" t="str">
        <f t="shared" si="14"/>
        <v>N/A</v>
      </c>
      <c r="AI23" s="117" t="str">
        <f>IF(AH23="N/A","N/A",(AH23*($D23/($E$11-#REF!))))</f>
        <v>N/A</v>
      </c>
      <c r="AK23" s="132">
        <f t="shared" si="15"/>
        <v>0</v>
      </c>
    </row>
    <row r="24" spans="1:37" ht="36" customHeight="1" x14ac:dyDescent="0.25">
      <c r="A24" s="108">
        <v>8</v>
      </c>
      <c r="B24" s="245"/>
      <c r="C24" s="246"/>
      <c r="D24" s="247"/>
      <c r="E24" s="248"/>
      <c r="F24" s="72"/>
      <c r="G24" s="109"/>
      <c r="I24" s="100"/>
      <c r="J24" s="126"/>
      <c r="K24" s="173"/>
      <c r="L24" s="173"/>
      <c r="M24" s="110"/>
      <c r="N24" s="111"/>
      <c r="O24" s="110" t="str">
        <f t="shared" si="1"/>
        <v>N/A</v>
      </c>
      <c r="P24" s="110"/>
      <c r="Q24" s="73">
        <f t="shared" si="9"/>
        <v>0.1</v>
      </c>
      <c r="R24" s="112"/>
      <c r="S24" s="100"/>
      <c r="T24" s="108" t="str">
        <f t="shared" si="16"/>
        <v>NO</v>
      </c>
      <c r="U24" s="113" t="str">
        <f t="shared" si="2"/>
        <v>N/A</v>
      </c>
      <c r="V24" s="74" t="str">
        <f t="shared" si="10"/>
        <v>N/A</v>
      </c>
      <c r="W24" s="75" t="str">
        <f t="shared" si="3"/>
        <v>N/A</v>
      </c>
      <c r="X24" s="76" t="str">
        <f t="shared" si="11"/>
        <v>N/A</v>
      </c>
      <c r="Y24" s="77" t="str">
        <f>IF(X24="N/A","N/A",((X24*($D24/($E$11-#REF!)))))</f>
        <v>N/A</v>
      </c>
      <c r="Z24" s="114"/>
      <c r="AA24" s="108" t="str">
        <f t="shared" si="12"/>
        <v>NO</v>
      </c>
      <c r="AB24" s="115">
        <f t="shared" si="4"/>
        <v>0</v>
      </c>
      <c r="AC24" s="116" t="str">
        <f t="shared" si="5"/>
        <v>N/A</v>
      </c>
      <c r="AD24" s="78" t="str">
        <f t="shared" si="6"/>
        <v>N/A</v>
      </c>
      <c r="AE24" s="79" t="str">
        <f t="shared" si="7"/>
        <v>N/A</v>
      </c>
      <c r="AF24" s="79" t="str">
        <f t="shared" si="8"/>
        <v>N/A</v>
      </c>
      <c r="AG24" s="80" t="str">
        <f t="shared" si="13"/>
        <v>N/A</v>
      </c>
      <c r="AH24" s="81" t="str">
        <f t="shared" si="14"/>
        <v>N/A</v>
      </c>
      <c r="AI24" s="117" t="str">
        <f>IF(AH24="N/A","N/A",(AH24*($D24/($E$11-#REF!))))</f>
        <v>N/A</v>
      </c>
      <c r="AK24" s="132">
        <f t="shared" si="15"/>
        <v>0</v>
      </c>
    </row>
    <row r="25" spans="1:37" ht="36.6" customHeight="1" x14ac:dyDescent="0.25">
      <c r="A25" s="108">
        <v>9</v>
      </c>
      <c r="B25" s="245"/>
      <c r="C25" s="246"/>
      <c r="D25" s="247"/>
      <c r="E25" s="248"/>
      <c r="F25" s="72"/>
      <c r="G25" s="109"/>
      <c r="I25" s="100"/>
      <c r="J25" s="126"/>
      <c r="K25" s="173"/>
      <c r="L25" s="173"/>
      <c r="M25" s="110"/>
      <c r="N25" s="111"/>
      <c r="O25" s="110" t="str">
        <f t="shared" si="1"/>
        <v>N/A</v>
      </c>
      <c r="P25" s="110"/>
      <c r="Q25" s="73">
        <f t="shared" si="9"/>
        <v>0.1</v>
      </c>
      <c r="R25" s="112"/>
      <c r="S25" s="100"/>
      <c r="T25" s="108" t="str">
        <f t="shared" si="16"/>
        <v>NO</v>
      </c>
      <c r="U25" s="113" t="str">
        <f t="shared" si="2"/>
        <v>N/A</v>
      </c>
      <c r="V25" s="74" t="str">
        <f t="shared" si="10"/>
        <v>N/A</v>
      </c>
      <c r="W25" s="75" t="str">
        <f t="shared" si="3"/>
        <v>N/A</v>
      </c>
      <c r="X25" s="76" t="str">
        <f t="shared" si="11"/>
        <v>N/A</v>
      </c>
      <c r="Y25" s="77" t="str">
        <f>IF(X25="N/A","N/A",((X25*($D25/($E$11-#REF!)))))</f>
        <v>N/A</v>
      </c>
      <c r="Z25" s="114"/>
      <c r="AA25" s="108" t="str">
        <f t="shared" si="12"/>
        <v>NO</v>
      </c>
      <c r="AB25" s="118"/>
      <c r="AC25" s="116" t="str">
        <f t="shared" si="5"/>
        <v>N/A</v>
      </c>
      <c r="AD25" s="78" t="str">
        <f t="shared" si="6"/>
        <v>N/A</v>
      </c>
      <c r="AE25" s="79" t="str">
        <f t="shared" si="7"/>
        <v>N/A</v>
      </c>
      <c r="AF25" s="79" t="str">
        <f t="shared" si="8"/>
        <v>N/A</v>
      </c>
      <c r="AG25" s="80" t="str">
        <f t="shared" si="13"/>
        <v>N/A</v>
      </c>
      <c r="AH25" s="81" t="str">
        <f t="shared" si="14"/>
        <v>N/A</v>
      </c>
      <c r="AI25" s="117" t="str">
        <f>IF(AH25="N/A","N/A",(AH25*($D25/($E$11-#REF!))))</f>
        <v>N/A</v>
      </c>
      <c r="AK25" s="132">
        <f t="shared" si="15"/>
        <v>0</v>
      </c>
    </row>
    <row r="26" spans="1:37" ht="36.6" customHeight="1" x14ac:dyDescent="0.25">
      <c r="A26" s="108">
        <v>10</v>
      </c>
      <c r="B26" s="245"/>
      <c r="C26" s="246"/>
      <c r="D26" s="247"/>
      <c r="E26" s="248"/>
      <c r="F26" s="72"/>
      <c r="G26" s="109"/>
      <c r="I26" s="100"/>
      <c r="J26" s="126"/>
      <c r="K26" s="173"/>
      <c r="L26" s="173"/>
      <c r="M26" s="110"/>
      <c r="N26" s="111"/>
      <c r="O26" s="110" t="str">
        <f t="shared" si="1"/>
        <v>N/A</v>
      </c>
      <c r="P26" s="110"/>
      <c r="Q26" s="73">
        <f t="shared" si="9"/>
        <v>0.1</v>
      </c>
      <c r="R26" s="112"/>
      <c r="S26" s="100"/>
      <c r="T26" s="108" t="str">
        <f t="shared" si="16"/>
        <v>NO</v>
      </c>
      <c r="U26" s="113" t="str">
        <f t="shared" si="2"/>
        <v>N/A</v>
      </c>
      <c r="V26" s="74" t="str">
        <f t="shared" si="10"/>
        <v>N/A</v>
      </c>
      <c r="W26" s="75" t="str">
        <f t="shared" si="3"/>
        <v>N/A</v>
      </c>
      <c r="X26" s="76" t="str">
        <f t="shared" si="11"/>
        <v>N/A</v>
      </c>
      <c r="Y26" s="77" t="str">
        <f>IF(X26="N/A","N/A",((X26*($D26/($E$11-#REF!)))))</f>
        <v>N/A</v>
      </c>
      <c r="Z26" s="114"/>
      <c r="AA26" s="108" t="str">
        <f t="shared" si="12"/>
        <v>NO</v>
      </c>
      <c r="AB26" s="118"/>
      <c r="AC26" s="116" t="str">
        <f t="shared" si="5"/>
        <v>N/A</v>
      </c>
      <c r="AD26" s="78" t="str">
        <f t="shared" si="6"/>
        <v>N/A</v>
      </c>
      <c r="AE26" s="79" t="str">
        <f t="shared" si="7"/>
        <v>N/A</v>
      </c>
      <c r="AF26" s="79" t="str">
        <f t="shared" si="8"/>
        <v>N/A</v>
      </c>
      <c r="AG26" s="80" t="str">
        <f t="shared" si="13"/>
        <v>N/A</v>
      </c>
      <c r="AH26" s="81" t="str">
        <f t="shared" si="14"/>
        <v>N/A</v>
      </c>
      <c r="AI26" s="117" t="str">
        <f>IF(AH26="N/A","N/A",(AH26*($D26/($E$11-#REF!))))</f>
        <v>N/A</v>
      </c>
      <c r="AK26" s="132">
        <f t="shared" si="15"/>
        <v>0</v>
      </c>
    </row>
    <row r="27" spans="1:37" ht="8.4499999999999993" customHeight="1" x14ac:dyDescent="0.25"/>
    <row r="28" spans="1:37" ht="17.25" thickBot="1" x14ac:dyDescent="0.35">
      <c r="A28" s="144" t="s">
        <v>69</v>
      </c>
      <c r="B28" s="151"/>
      <c r="C28" s="119"/>
      <c r="D28" s="119"/>
      <c r="E28" s="119"/>
      <c r="F28" s="119"/>
      <c r="G28" s="119"/>
      <c r="H28" s="119"/>
      <c r="I28" s="119"/>
      <c r="J28" s="120"/>
      <c r="K28" s="120"/>
      <c r="L28" s="120"/>
      <c r="M28" s="120"/>
      <c r="N28" s="120"/>
      <c r="O28" s="120"/>
      <c r="P28" s="121"/>
      <c r="Q28" s="121"/>
      <c r="R28" s="121"/>
      <c r="S28" s="121"/>
      <c r="T28" s="121"/>
      <c r="U28" s="121"/>
      <c r="V28" s="121"/>
      <c r="W28" s="121"/>
      <c r="X28" s="121"/>
      <c r="Y28" s="121"/>
      <c r="Z28" s="121"/>
      <c r="AA28" s="121"/>
      <c r="AB28" s="122"/>
      <c r="AC28" s="122"/>
      <c r="AD28" s="122"/>
      <c r="AE28" s="122"/>
      <c r="AF28" s="122"/>
      <c r="AG28" s="122"/>
      <c r="AH28" s="122"/>
      <c r="AI28" s="122"/>
      <c r="AJ28" s="123" t="s">
        <v>127</v>
      </c>
      <c r="AK28" s="133">
        <f>SUM(AK17:AK26)</f>
        <v>0</v>
      </c>
    </row>
    <row r="29" spans="1:37" ht="37.9" customHeight="1" thickTop="1" thickBot="1" x14ac:dyDescent="0.35">
      <c r="A29" s="86"/>
      <c r="D29" s="86"/>
      <c r="S29" s="249" t="s">
        <v>84</v>
      </c>
      <c r="T29" s="249"/>
      <c r="U29" s="249"/>
      <c r="V29" s="249"/>
      <c r="W29" s="250" t="s">
        <v>85</v>
      </c>
      <c r="X29" s="251"/>
      <c r="Y29" s="249" t="s">
        <v>86</v>
      </c>
      <c r="Z29" s="249"/>
      <c r="AA29" s="249"/>
      <c r="AB29" s="134"/>
      <c r="AC29" s="135"/>
      <c r="AD29" s="249" t="s">
        <v>87</v>
      </c>
      <c r="AE29" s="249"/>
      <c r="AF29" s="249" t="s">
        <v>88</v>
      </c>
      <c r="AG29" s="249"/>
      <c r="AH29" s="249" t="s">
        <v>91</v>
      </c>
      <c r="AI29" s="249"/>
    </row>
    <row r="30" spans="1:37" ht="15" customHeight="1" x14ac:dyDescent="0.3">
      <c r="A30" s="137"/>
      <c r="B30" s="138"/>
      <c r="C30" s="139" t="s">
        <v>68</v>
      </c>
      <c r="D30" s="140">
        <f>SUM(D17:E26)</f>
        <v>0</v>
      </c>
      <c r="E30" s="138"/>
      <c r="F30" s="138"/>
      <c r="G30" s="141" t="s">
        <v>117</v>
      </c>
      <c r="H30" s="142">
        <f>MIN(SUM(Y17:Y26),40)</f>
        <v>0</v>
      </c>
      <c r="I30" s="138"/>
      <c r="M30" s="239" t="s">
        <v>128</v>
      </c>
      <c r="N30" s="241">
        <f>ROUNDUP(SUM(H30:H31),2)</f>
        <v>0</v>
      </c>
      <c r="S30" s="238">
        <f>MIN(SUMIF(G17:G26,"Bioretention",AK17:AK26),80)</f>
        <v>0</v>
      </c>
      <c r="T30" s="238"/>
      <c r="U30" s="238"/>
      <c r="V30" s="238"/>
      <c r="W30" s="243">
        <f>MIN(SUMIF($G$17:$G$26,"Permeable Pavement",$AK$17:$AK$26),80)</f>
        <v>0</v>
      </c>
      <c r="X30" s="244"/>
      <c r="Y30" s="238">
        <f>MIN(SUMIF($G$17:$G$26,"Detention",$AK$17:$AK$26),40)</f>
        <v>0</v>
      </c>
      <c r="Z30" s="238"/>
      <c r="AA30" s="238"/>
      <c r="AB30" s="136"/>
      <c r="AC30" s="136"/>
      <c r="AD30" s="238">
        <f>MIN(SUMIF($G$17:$G$26,"Subsurface Detention Storage",$AK$17:$AK$26),40)</f>
        <v>0</v>
      </c>
      <c r="AE30" s="238"/>
      <c r="AF30" s="238">
        <f>MIN(SUMIF($G$17:$G$26,"Downspout Disconnection",$AK$17:$AK$26),40)</f>
        <v>0</v>
      </c>
      <c r="AG30" s="238"/>
      <c r="AH30" s="238">
        <f>MIN(SUMIF($G$17:$G$26,"Impervious Disconnection",$AK$17:$AK$26),40)</f>
        <v>0</v>
      </c>
      <c r="AI30" s="238"/>
    </row>
    <row r="31" spans="1:37" ht="13.9" customHeight="1" thickBot="1" x14ac:dyDescent="0.35">
      <c r="A31" s="137"/>
      <c r="B31" s="138"/>
      <c r="C31" s="139" t="s">
        <v>66</v>
      </c>
      <c r="D31" s="140" t="e">
        <f>(E11-#REF!)-D30</f>
        <v>#REF!</v>
      </c>
      <c r="E31" s="137"/>
      <c r="F31" s="137"/>
      <c r="G31" s="143" t="s">
        <v>70</v>
      </c>
      <c r="H31" s="142">
        <f>MIN(SUM(AI17:AI26),40)</f>
        <v>0</v>
      </c>
      <c r="I31" s="138"/>
      <c r="J31" s="158"/>
      <c r="K31" s="158"/>
      <c r="L31" s="158"/>
      <c r="M31" s="240"/>
      <c r="N31" s="242"/>
      <c r="AB31" s="85"/>
      <c r="AC31" s="86"/>
      <c r="AD31" s="86"/>
      <c r="AE31" s="86"/>
      <c r="AF31" s="86"/>
      <c r="AG31" s="86"/>
      <c r="AH31" s="86"/>
      <c r="AI31" s="86"/>
    </row>
    <row r="32" spans="1:37" ht="14.45" customHeight="1" thickBot="1" x14ac:dyDescent="0.35">
      <c r="A32" s="144" t="s">
        <v>79</v>
      </c>
      <c r="B32" s="145"/>
      <c r="C32" s="145"/>
      <c r="D32" s="146" t="str">
        <f>IF(H11-D30&lt;0, "You are managing more impervious acres than you have"," ")</f>
        <v xml:space="preserve"> </v>
      </c>
      <c r="E32" s="145"/>
      <c r="F32" s="145"/>
      <c r="G32" s="145"/>
      <c r="H32" s="147"/>
      <c r="I32" s="147"/>
      <c r="J32" s="147"/>
      <c r="K32" s="147"/>
      <c r="L32" s="147"/>
      <c r="M32" s="147"/>
      <c r="N32" s="147"/>
      <c r="O32" s="88"/>
      <c r="AB32" s="85"/>
      <c r="AC32" s="86"/>
      <c r="AD32" s="86"/>
      <c r="AE32" s="86"/>
      <c r="AF32" s="86"/>
      <c r="AG32" s="86"/>
      <c r="AH32" s="86"/>
      <c r="AI32" s="86"/>
    </row>
    <row r="33" spans="1:35" ht="19.899999999999999" customHeight="1" thickTop="1" x14ac:dyDescent="0.3">
      <c r="A33" s="148" t="s">
        <v>143</v>
      </c>
      <c r="B33" s="149"/>
      <c r="C33" s="149"/>
      <c r="D33" s="149"/>
      <c r="E33" s="149"/>
      <c r="F33" s="149"/>
      <c r="G33" s="150"/>
      <c r="H33" s="148"/>
      <c r="I33" s="148"/>
      <c r="J33" s="138"/>
      <c r="K33" s="138"/>
      <c r="L33" s="138"/>
      <c r="M33" s="138"/>
      <c r="N33" s="138"/>
      <c r="U33" s="124"/>
      <c r="AB33" s="85"/>
      <c r="AC33" s="86"/>
      <c r="AD33" s="86"/>
      <c r="AE33" s="86"/>
      <c r="AF33" s="86"/>
      <c r="AG33" s="86"/>
      <c r="AH33" s="86"/>
      <c r="AI33" s="86"/>
    </row>
    <row r="34" spans="1:35" ht="18" thickBot="1" x14ac:dyDescent="0.35">
      <c r="A34" s="144" t="s">
        <v>83</v>
      </c>
      <c r="B34" s="145"/>
      <c r="C34" s="145"/>
      <c r="D34" s="146"/>
      <c r="E34" s="145"/>
      <c r="F34" s="145"/>
      <c r="G34" s="145"/>
      <c r="H34" s="147"/>
      <c r="I34" s="147"/>
      <c r="J34" s="147"/>
      <c r="K34" s="147"/>
      <c r="L34" s="147"/>
      <c r="M34" s="147"/>
      <c r="N34" s="147"/>
      <c r="O34" s="88"/>
    </row>
    <row r="35" spans="1:35" ht="15.75" thickTop="1" x14ac:dyDescent="0.25">
      <c r="A35" s="264" t="s">
        <v>137</v>
      </c>
      <c r="B35" s="264"/>
      <c r="C35" s="264"/>
      <c r="D35" s="264"/>
      <c r="E35" s="264"/>
      <c r="F35" s="264"/>
      <c r="G35" s="264"/>
      <c r="H35" s="264"/>
      <c r="I35" s="264"/>
      <c r="J35" s="264"/>
      <c r="K35" s="264"/>
      <c r="L35" s="264"/>
      <c r="M35" s="264"/>
      <c r="N35" s="264"/>
      <c r="O35" s="264"/>
      <c r="P35" s="264"/>
      <c r="Q35" s="264"/>
      <c r="R35" s="264"/>
      <c r="S35" s="264"/>
    </row>
    <row r="36" spans="1:35" ht="19.899999999999999" customHeight="1" x14ac:dyDescent="0.25">
      <c r="A36" s="264"/>
      <c r="B36" s="264"/>
      <c r="C36" s="264"/>
      <c r="D36" s="264"/>
      <c r="E36" s="264"/>
      <c r="F36" s="264"/>
      <c r="G36" s="264"/>
      <c r="H36" s="264"/>
      <c r="I36" s="264"/>
      <c r="J36" s="264"/>
      <c r="K36" s="264"/>
      <c r="L36" s="264"/>
      <c r="M36" s="264"/>
      <c r="N36" s="264"/>
      <c r="O36" s="264"/>
      <c r="P36" s="264"/>
      <c r="Q36" s="264"/>
      <c r="R36" s="264"/>
      <c r="S36" s="264"/>
    </row>
  </sheetData>
  <mergeCells count="45">
    <mergeCell ref="AH29:AI29"/>
    <mergeCell ref="AH30:AI30"/>
    <mergeCell ref="AF29:AG29"/>
    <mergeCell ref="AF30:AG30"/>
    <mergeCell ref="AD30:AE30"/>
    <mergeCell ref="C6:E6"/>
    <mergeCell ref="G15:H15"/>
    <mergeCell ref="B15:F15"/>
    <mergeCell ref="A35:S36"/>
    <mergeCell ref="AD29:AE29"/>
    <mergeCell ref="Y29:AA29"/>
    <mergeCell ref="Y30:AA30"/>
    <mergeCell ref="N30:N31"/>
    <mergeCell ref="W29:X29"/>
    <mergeCell ref="W30:X30"/>
    <mergeCell ref="S29:V29"/>
    <mergeCell ref="S30:V30"/>
    <mergeCell ref="M30:M31"/>
    <mergeCell ref="O11:S11"/>
    <mergeCell ref="O9:S9"/>
    <mergeCell ref="B26:C26"/>
    <mergeCell ref="B22:C22"/>
    <mergeCell ref="B23:C23"/>
    <mergeCell ref="B24:C24"/>
    <mergeCell ref="B25:C25"/>
    <mergeCell ref="D22:E22"/>
    <mergeCell ref="D23:E23"/>
    <mergeCell ref="D24:E24"/>
    <mergeCell ref="D25:E25"/>
    <mergeCell ref="D26:E26"/>
    <mergeCell ref="AA15:AI15"/>
    <mergeCell ref="B21:C21"/>
    <mergeCell ref="B16:C16"/>
    <mergeCell ref="B17:C17"/>
    <mergeCell ref="B18:C18"/>
    <mergeCell ref="B19:C19"/>
    <mergeCell ref="B20:C20"/>
    <mergeCell ref="D16:E16"/>
    <mergeCell ref="D17:E17"/>
    <mergeCell ref="D18:E18"/>
    <mergeCell ref="D19:E19"/>
    <mergeCell ref="D20:E20"/>
    <mergeCell ref="D21:E21"/>
    <mergeCell ref="J15:R15"/>
    <mergeCell ref="T15:Y15"/>
  </mergeCells>
  <conditionalFormatting sqref="AF17:AF27">
    <cfRule type="expression" dxfId="19" priority="83">
      <formula>$AK17&lt;#REF!</formula>
    </cfRule>
  </conditionalFormatting>
  <conditionalFormatting sqref="AG17:AG27">
    <cfRule type="expression" dxfId="18" priority="40">
      <formula>$AG17="Does NOT Provide Enough Storage for a 2-yr Storm"</formula>
    </cfRule>
  </conditionalFormatting>
  <conditionalFormatting sqref="D31">
    <cfRule type="expression" dxfId="17" priority="38">
      <formula>$D$31&lt;0</formula>
    </cfRule>
  </conditionalFormatting>
  <conditionalFormatting sqref="N17 N20:N26 K17:M26">
    <cfRule type="expression" dxfId="16" priority="13">
      <formula>OR($G17="Impervious Disconnection",$G17="Downspout Disconnection", $G17="Detention",$G17="Subsurface Detention Storage")</formula>
    </cfRule>
  </conditionalFormatting>
  <conditionalFormatting sqref="O17:O26">
    <cfRule type="expression" dxfId="15" priority="12">
      <formula xml:space="preserve"> OR($G17="Impervious Disconnection",$G17="Downspout Disconnection",$G17= "Bioretention",$G17= "Permeable Pavement")</formula>
    </cfRule>
  </conditionalFormatting>
  <conditionalFormatting sqref="J21:J26">
    <cfRule type="expression" dxfId="14" priority="11">
      <formula>OR($G21="Detention",$G21="Subsurface Detention Storage")</formula>
    </cfRule>
  </conditionalFormatting>
  <conditionalFormatting sqref="P17:Q26">
    <cfRule type="expression" dxfId="13" priority="10">
      <formula>$F17&gt;0.75</formula>
    </cfRule>
  </conditionalFormatting>
  <conditionalFormatting sqref="J18">
    <cfRule type="expression" dxfId="12" priority="9">
      <formula>OR($G18="Detention",$G18="Subsurface Detention Storage")</formula>
    </cfRule>
  </conditionalFormatting>
  <conditionalFormatting sqref="N18">
    <cfRule type="expression" dxfId="11" priority="7">
      <formula>OR($G18="Impervious Disconnection",$G18="Downspout Disconnection", $G18="Detention",$G18="Subsurface Detention Storage")</formula>
    </cfRule>
  </conditionalFormatting>
  <conditionalFormatting sqref="N19">
    <cfRule type="expression" dxfId="10" priority="5">
      <formula>OR($G19="Impervious Disconnection",$G19="Downspout Disconnection", $G19="Detention",$G19="Subsurface Detention Storage")</formula>
    </cfRule>
  </conditionalFormatting>
  <conditionalFormatting sqref="J20">
    <cfRule type="expression" dxfId="9" priority="3">
      <formula>OR($G20="Detention",$G20="Subsurface Detention Storage")</formula>
    </cfRule>
  </conditionalFormatting>
  <conditionalFormatting sqref="J19">
    <cfRule type="expression" dxfId="8" priority="2">
      <formula>OR($G19="Detention",$G19="Subsurface Detention Storage")</formula>
    </cfRule>
  </conditionalFormatting>
  <conditionalFormatting sqref="Q17:Q26">
    <cfRule type="expression" dxfId="7" priority="87">
      <formula>$Q17 ="Will NOT drain in 72 hrs"</formula>
    </cfRule>
  </conditionalFormatting>
  <conditionalFormatting sqref="J17">
    <cfRule type="expression" dxfId="6" priority="1">
      <formula>OR($G17="Impervious Disconnection",$G17="Downspout Disconnection", $G17="Detention",$G17="Subsurface Detention Storage")</formula>
    </cfRule>
  </conditionalFormatting>
  <pageMargins left="0.7" right="0.51111111111111107" top="0.75" bottom="0.54285714285714282" header="0.3" footer="0.3"/>
  <pageSetup paperSize="3" scale="80" fitToWidth="0" fitToHeight="0" orientation="landscape" r:id="rId1"/>
  <headerFooter>
    <oddFooter>&amp;C&amp;K00-019DWSD Drainage Credit Calculator- Draft</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References!$A$15:$A$16</xm:f>
          </x14:formula1>
          <xm:sqref>V6</xm:sqref>
        </x14:dataValidation>
        <x14:dataValidation type="list" allowBlank="1" showInputMessage="1" showErrorMessage="1">
          <x14:formula1>
            <xm:f>References!$A$5:$A$10</xm:f>
          </x14:formula1>
          <xm:sqref>G17:G27</xm:sqref>
        </x14:dataValidation>
        <x14:dataValidation type="list" allowBlank="1" showInputMessage="1" showErrorMessage="1">
          <x14:formula1>
            <xm:f>References!$H$5:$H$11</xm:f>
          </x14:formula1>
          <xm:sqref>P27:Q27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M27"/>
  <sheetViews>
    <sheetView showGridLines="0" view="pageLayout" zoomScale="70" zoomScaleNormal="80" zoomScalePageLayoutView="70" workbookViewId="0">
      <selection activeCell="A27" sqref="A27"/>
    </sheetView>
  </sheetViews>
  <sheetFormatPr defaultColWidth="8.85546875" defaultRowHeight="15" x14ac:dyDescent="0.25"/>
  <cols>
    <col min="1" max="1" width="10.28515625" style="165" customWidth="1"/>
    <col min="2" max="3" width="12.140625" style="165" customWidth="1"/>
    <col min="4" max="4" width="13.28515625" style="165" customWidth="1"/>
    <col min="5" max="5" width="0.5703125" style="165" customWidth="1"/>
    <col min="6" max="7" width="14.28515625" style="165" customWidth="1"/>
    <col min="8" max="8" width="10.42578125" style="165" customWidth="1"/>
    <col min="9" max="9" width="12.140625" style="165" customWidth="1"/>
    <col min="10" max="10" width="0.7109375" style="165" customWidth="1"/>
    <col min="11" max="11" width="10.28515625" style="165" customWidth="1"/>
    <col min="12" max="16384" width="8.85546875" style="165"/>
  </cols>
  <sheetData>
    <row r="1" spans="1:12" ht="14.45" customHeight="1" thickBot="1" x14ac:dyDescent="0.35">
      <c r="A1" s="225" t="s">
        <v>176</v>
      </c>
      <c r="B1" s="225"/>
      <c r="C1" s="225"/>
      <c r="D1" s="225"/>
      <c r="E1" s="225"/>
      <c r="F1" s="225"/>
      <c r="G1" s="225"/>
      <c r="H1" s="225"/>
      <c r="I1" s="225"/>
      <c r="J1" s="225"/>
      <c r="K1" s="225"/>
      <c r="L1" s="71"/>
    </row>
    <row r="2" spans="1:12" ht="15" customHeight="1" thickTop="1" thickBot="1" x14ac:dyDescent="0.35">
      <c r="A2" s="225"/>
      <c r="B2" s="225"/>
      <c r="C2" s="225"/>
      <c r="D2" s="225"/>
      <c r="E2" s="225"/>
      <c r="F2" s="225"/>
      <c r="G2" s="225"/>
      <c r="H2" s="225"/>
      <c r="I2" s="225"/>
      <c r="J2" s="225"/>
      <c r="K2" s="225"/>
      <c r="L2" s="17"/>
    </row>
    <row r="3" spans="1:12" ht="15" customHeight="1" thickTop="1" x14ac:dyDescent="0.3">
      <c r="A3" s="71"/>
      <c r="B3" s="71"/>
      <c r="C3" s="71"/>
      <c r="D3" s="71"/>
      <c r="E3" s="71"/>
      <c r="F3" s="71"/>
      <c r="G3" s="71"/>
      <c r="H3" s="71"/>
      <c r="I3" s="71"/>
      <c r="J3" s="71"/>
      <c r="K3" s="71"/>
      <c r="L3" s="71"/>
    </row>
    <row r="4" spans="1:12" ht="14.45" customHeight="1" x14ac:dyDescent="0.25">
      <c r="A4" s="235" t="s">
        <v>177</v>
      </c>
      <c r="B4" s="235"/>
      <c r="C4" s="235"/>
      <c r="D4" s="235"/>
      <c r="E4" s="235"/>
      <c r="F4" s="235"/>
      <c r="G4" s="235"/>
      <c r="H4" s="235"/>
      <c r="I4" s="235"/>
      <c r="J4" s="235"/>
      <c r="K4" s="235"/>
      <c r="L4" s="235"/>
    </row>
    <row r="5" spans="1:12" hidden="1" x14ac:dyDescent="0.25">
      <c r="A5" s="235"/>
      <c r="B5" s="235"/>
      <c r="C5" s="235"/>
      <c r="D5" s="235"/>
      <c r="E5" s="235"/>
      <c r="F5" s="235"/>
      <c r="G5" s="235"/>
      <c r="H5" s="235"/>
      <c r="I5" s="235"/>
      <c r="J5" s="235"/>
      <c r="K5" s="235"/>
      <c r="L5" s="235"/>
    </row>
    <row r="6" spans="1:12" ht="14.45" hidden="1" customHeight="1" x14ac:dyDescent="0.25">
      <c r="A6" s="235"/>
      <c r="B6" s="235"/>
      <c r="C6" s="235"/>
      <c r="D6" s="235"/>
      <c r="E6" s="235"/>
      <c r="F6" s="235"/>
      <c r="G6" s="235"/>
      <c r="H6" s="235"/>
      <c r="I6" s="235"/>
      <c r="J6" s="235"/>
      <c r="K6" s="235"/>
      <c r="L6" s="235"/>
    </row>
    <row r="7" spans="1:12" hidden="1" x14ac:dyDescent="0.25">
      <c r="A7" s="235"/>
      <c r="B7" s="235"/>
      <c r="C7" s="235"/>
      <c r="D7" s="235"/>
      <c r="E7" s="235"/>
      <c r="F7" s="235"/>
      <c r="G7" s="235"/>
      <c r="H7" s="235"/>
      <c r="I7" s="235"/>
      <c r="J7" s="236"/>
      <c r="K7" s="235"/>
      <c r="L7" s="235"/>
    </row>
    <row r="8" spans="1:12" ht="14.45" hidden="1" customHeight="1" x14ac:dyDescent="0.25">
      <c r="A8" s="235"/>
      <c r="B8" s="235"/>
      <c r="C8" s="235"/>
      <c r="D8" s="235"/>
      <c r="E8" s="235"/>
      <c r="F8" s="235"/>
      <c r="G8" s="235"/>
      <c r="H8" s="235"/>
      <c r="I8" s="235"/>
      <c r="J8" s="235"/>
      <c r="K8" s="235"/>
      <c r="L8" s="235"/>
    </row>
    <row r="9" spans="1:12" x14ac:dyDescent="0.25">
      <c r="A9" s="235"/>
      <c r="B9" s="235"/>
      <c r="C9" s="235"/>
      <c r="D9" s="235"/>
      <c r="E9" s="235"/>
      <c r="F9" s="235"/>
      <c r="G9" s="235"/>
      <c r="H9" s="235"/>
      <c r="I9" s="235"/>
      <c r="J9" s="235"/>
      <c r="K9" s="235"/>
      <c r="L9" s="235"/>
    </row>
    <row r="10" spans="1:12" ht="16.5" x14ac:dyDescent="0.3">
      <c r="A10" s="71"/>
      <c r="B10" s="71"/>
      <c r="C10" s="71"/>
      <c r="D10" s="71"/>
      <c r="E10" s="71"/>
      <c r="F10" s="71"/>
      <c r="G10" s="71"/>
      <c r="H10" s="71"/>
      <c r="I10" s="71"/>
      <c r="J10" s="71"/>
      <c r="K10" s="71"/>
      <c r="L10" s="71"/>
    </row>
    <row r="11" spans="1:12" ht="15.6" customHeight="1" x14ac:dyDescent="0.3">
      <c r="A11" s="71"/>
      <c r="B11" s="167"/>
      <c r="C11" s="167"/>
      <c r="D11" s="167"/>
      <c r="E11" s="167"/>
      <c r="F11" s="27"/>
      <c r="G11" s="167"/>
      <c r="H11" s="167"/>
      <c r="I11" s="167"/>
      <c r="J11" s="167"/>
      <c r="K11" s="71"/>
      <c r="L11" s="71"/>
    </row>
    <row r="12" spans="1:12" ht="15.6" customHeight="1" x14ac:dyDescent="0.3">
      <c r="A12" s="71"/>
      <c r="B12" s="167"/>
      <c r="C12" s="221" t="s">
        <v>178</v>
      </c>
      <c r="D12" s="221"/>
      <c r="E12" s="167"/>
      <c r="F12" s="168">
        <v>0.36</v>
      </c>
      <c r="G12" s="171" t="s">
        <v>182</v>
      </c>
      <c r="H12" s="167"/>
      <c r="I12" s="167"/>
      <c r="J12" s="167"/>
      <c r="K12" s="71"/>
      <c r="L12" s="71"/>
    </row>
    <row r="13" spans="1:12" ht="15.6" customHeight="1" x14ac:dyDescent="0.3">
      <c r="A13" s="71"/>
      <c r="B13" s="167"/>
      <c r="C13" s="166"/>
      <c r="G13" s="167"/>
      <c r="H13" s="167"/>
      <c r="I13" s="167"/>
      <c r="J13" s="167"/>
      <c r="K13" s="71"/>
      <c r="L13" s="71"/>
    </row>
    <row r="14" spans="1:12" ht="15.6" customHeight="1" x14ac:dyDescent="0.3">
      <c r="D14" s="171"/>
    </row>
    <row r="15" spans="1:12" ht="18" thickBot="1" x14ac:dyDescent="0.35">
      <c r="A15" s="37" t="s">
        <v>180</v>
      </c>
      <c r="B15" s="20"/>
      <c r="C15" s="20"/>
      <c r="D15" s="20"/>
      <c r="E15" s="20"/>
      <c r="F15" s="20"/>
      <c r="G15" s="20"/>
      <c r="H15" s="20"/>
      <c r="I15" s="20"/>
      <c r="J15" s="20"/>
      <c r="K15" s="20"/>
      <c r="L15" s="20"/>
    </row>
    <row r="16" spans="1:12" ht="32.25" thickTop="1" x14ac:dyDescent="0.3">
      <c r="B16" s="24" t="s">
        <v>179</v>
      </c>
      <c r="C16" s="267" t="s">
        <v>123</v>
      </c>
      <c r="D16" s="267"/>
      <c r="F16" s="267" t="s">
        <v>165</v>
      </c>
      <c r="G16" s="267"/>
      <c r="I16" s="169" t="s">
        <v>181</v>
      </c>
      <c r="J16" s="71"/>
    </row>
    <row r="17" spans="1:13" ht="16.5" x14ac:dyDescent="0.3">
      <c r="B17" s="30">
        <v>1</v>
      </c>
      <c r="C17" s="266">
        <v>4.5</v>
      </c>
      <c r="D17" s="266"/>
      <c r="F17" s="266">
        <v>2.85</v>
      </c>
      <c r="G17" s="266"/>
      <c r="I17" s="170">
        <f>(F17/C17)*$F$12</f>
        <v>0.22799999999999998</v>
      </c>
      <c r="J17" s="30"/>
    </row>
    <row r="18" spans="1:13" ht="14.45" customHeight="1" x14ac:dyDescent="0.3">
      <c r="B18" s="30">
        <v>2</v>
      </c>
      <c r="C18" s="266"/>
      <c r="D18" s="266"/>
      <c r="F18" s="266"/>
      <c r="G18" s="266"/>
      <c r="I18" s="170" t="str">
        <f>IF(C18="","",(F18/C18)*$F$12)</f>
        <v/>
      </c>
      <c r="J18" s="30"/>
    </row>
    <row r="19" spans="1:13" ht="16.5" x14ac:dyDescent="0.3">
      <c r="B19" s="30">
        <v>3</v>
      </c>
      <c r="C19" s="266"/>
      <c r="D19" s="266"/>
      <c r="F19" s="266"/>
      <c r="G19" s="266"/>
      <c r="I19" s="170" t="str">
        <f t="shared" ref="I19:I21" si="0">IF(C19="","",(F19/C19)*$F$12)</f>
        <v/>
      </c>
      <c r="J19" s="30"/>
    </row>
    <row r="20" spans="1:13" ht="16.5" x14ac:dyDescent="0.3">
      <c r="B20" s="30">
        <v>4</v>
      </c>
      <c r="C20" s="266"/>
      <c r="D20" s="266"/>
      <c r="F20" s="266"/>
      <c r="G20" s="266"/>
      <c r="I20" s="170" t="str">
        <f t="shared" si="0"/>
        <v/>
      </c>
      <c r="J20" s="30"/>
    </row>
    <row r="21" spans="1:13" ht="16.5" x14ac:dyDescent="0.3">
      <c r="B21" s="30">
        <v>5</v>
      </c>
      <c r="C21" s="266"/>
      <c r="D21" s="266"/>
      <c r="F21" s="266"/>
      <c r="G21" s="266"/>
      <c r="I21" s="170" t="str">
        <f t="shared" si="0"/>
        <v/>
      </c>
      <c r="J21" s="30"/>
    </row>
    <row r="22" spans="1:13" ht="16.5" x14ac:dyDescent="0.3">
      <c r="A22" s="71"/>
      <c r="B22" s="71"/>
      <c r="C22" s="71"/>
      <c r="D22" s="71"/>
      <c r="E22" s="71"/>
      <c r="F22" s="71"/>
      <c r="G22" s="71"/>
      <c r="H22" s="71"/>
      <c r="I22" s="71"/>
      <c r="J22" s="71"/>
      <c r="K22" s="71"/>
      <c r="L22" s="71"/>
    </row>
    <row r="23" spans="1:13" ht="18" thickBot="1" x14ac:dyDescent="0.35">
      <c r="A23" s="145" t="s">
        <v>83</v>
      </c>
      <c r="B23" s="145"/>
      <c r="C23" s="145"/>
      <c r="D23" s="145"/>
      <c r="E23" s="145"/>
      <c r="F23" s="145"/>
      <c r="G23" s="145"/>
      <c r="H23" s="20"/>
      <c r="I23" s="20"/>
      <c r="J23" s="20"/>
      <c r="K23" s="20"/>
      <c r="L23" s="20"/>
      <c r="M23" s="20"/>
    </row>
    <row r="24" spans="1:13" ht="15" customHeight="1" thickTop="1" x14ac:dyDescent="0.25">
      <c r="A24" s="209" t="s">
        <v>137</v>
      </c>
      <c r="B24" s="209"/>
      <c r="C24" s="209"/>
      <c r="D24" s="209"/>
      <c r="E24" s="209"/>
      <c r="F24" s="209"/>
      <c r="G24" s="209"/>
      <c r="H24" s="209"/>
      <c r="I24" s="209"/>
      <c r="J24" s="209"/>
      <c r="K24" s="209"/>
      <c r="L24" s="209"/>
      <c r="M24" s="209"/>
    </row>
    <row r="25" spans="1:13" x14ac:dyDescent="0.25">
      <c r="A25" s="210"/>
      <c r="B25" s="210"/>
      <c r="C25" s="210"/>
      <c r="D25" s="210"/>
      <c r="E25" s="210"/>
      <c r="F25" s="210"/>
      <c r="G25" s="210"/>
      <c r="H25" s="210"/>
      <c r="I25" s="210"/>
      <c r="J25" s="210"/>
      <c r="K25" s="210"/>
      <c r="L25" s="210"/>
      <c r="M25" s="210"/>
    </row>
    <row r="26" spans="1:13" ht="16.5" x14ac:dyDescent="0.25">
      <c r="A26" s="163"/>
      <c r="B26" s="163"/>
      <c r="C26" s="163"/>
      <c r="D26" s="163"/>
      <c r="E26" s="163"/>
      <c r="F26" s="163"/>
      <c r="G26" s="163"/>
      <c r="H26" s="163"/>
      <c r="I26" s="163"/>
      <c r="J26" s="163"/>
      <c r="K26" s="163"/>
      <c r="L26" s="163"/>
      <c r="M26" s="163"/>
    </row>
    <row r="27" spans="1:13" ht="16.5" x14ac:dyDescent="0.3">
      <c r="A27" s="71"/>
    </row>
  </sheetData>
  <mergeCells count="16">
    <mergeCell ref="A1:K2"/>
    <mergeCell ref="A4:L9"/>
    <mergeCell ref="C12:D12"/>
    <mergeCell ref="A24:M25"/>
    <mergeCell ref="F21:G21"/>
    <mergeCell ref="F16:G16"/>
    <mergeCell ref="C16:D16"/>
    <mergeCell ref="C17:D17"/>
    <mergeCell ref="C18:D18"/>
    <mergeCell ref="C19:D19"/>
    <mergeCell ref="C20:D20"/>
    <mergeCell ref="C21:D21"/>
    <mergeCell ref="F17:G17"/>
    <mergeCell ref="F18:G18"/>
    <mergeCell ref="F19:G19"/>
    <mergeCell ref="F20:G20"/>
  </mergeCells>
  <conditionalFormatting sqref="K22:K23 I17:I21">
    <cfRule type="expression" dxfId="5" priority="3">
      <formula>"$K23&gt;$F$20"</formula>
    </cfRule>
  </conditionalFormatting>
  <conditionalFormatting sqref="K22:K23">
    <cfRule type="expression" dxfId="4" priority="80">
      <formula>$K22&gt;#REF!</formula>
    </cfRule>
  </conditionalFormatting>
  <conditionalFormatting sqref="L17:L21">
    <cfRule type="expression" dxfId="3" priority="81">
      <formula>$L17&gt;#REF!</formula>
    </cfRule>
  </conditionalFormatting>
  <conditionalFormatting sqref="I17:I21">
    <cfRule type="expression" dxfId="2" priority="85">
      <formula>$I17&gt;#REF!</formula>
    </cfRule>
  </conditionalFormatting>
  <pageMargins left="0.7" right="0.7" top="0.75" bottom="0.75" header="0.3" footer="0.3"/>
  <pageSetup scale="95" orientation="landscape" r:id="rId1"/>
  <headerFooter>
    <oddFooter>&amp;C&amp;K00-020DWSD Drainage Credit Calculator- Draft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Introduction</vt:lpstr>
      <vt:lpstr>Unit Conversion</vt:lpstr>
      <vt:lpstr>Glossary</vt:lpstr>
      <vt:lpstr>How to Determine Drainage Area </vt:lpstr>
      <vt:lpstr>How to Calculate Practice Areas</vt:lpstr>
      <vt:lpstr>EWD Calculator</vt:lpstr>
      <vt:lpstr>Advanced Credit Calculator</vt:lpstr>
      <vt:lpstr>Credit Calculator </vt:lpstr>
      <vt:lpstr>Shared Practices</vt:lpstr>
      <vt:lpstr>Next Steps</vt:lpstr>
      <vt:lpstr> Disclaimer</vt:lpstr>
      <vt:lpstr>References</vt:lpstr>
      <vt:lpstr>Std Detent Calcs</vt:lpstr>
      <vt:lpstr>'EWD Calculator'!_Ref459696516</vt:lpstr>
    </vt:vector>
  </TitlesOfParts>
  <Company>Tetra Tech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Daniel</dc:creator>
  <cp:lastModifiedBy>Robert Gibson</cp:lastModifiedBy>
  <cp:lastPrinted>2018-01-12T16:36:11Z</cp:lastPrinted>
  <dcterms:created xsi:type="dcterms:W3CDTF">2016-12-08T14:49:29Z</dcterms:created>
  <dcterms:modified xsi:type="dcterms:W3CDTF">2019-03-11T15:44:08Z</dcterms:modified>
</cp:coreProperties>
</file>